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Coordenadoria PIICT\2019 - 2020\"/>
    </mc:Choice>
  </mc:AlternateContent>
  <bookViews>
    <workbookView xWindow="720" yWindow="390" windowWidth="14640" windowHeight="9240"/>
  </bookViews>
  <sheets>
    <sheet name="1 - Pontuação Global" sheetId="8" r:id="rId1"/>
    <sheet name="2 - Projeto e Plano de Trabalho" sheetId="2" r:id="rId2"/>
  </sheets>
  <calcPr calcId="152511"/>
</workbook>
</file>

<file path=xl/calcChain.xml><?xml version="1.0" encoding="utf-8"?>
<calcChain xmlns="http://schemas.openxmlformats.org/spreadsheetml/2006/main">
  <c r="H26" i="8" l="1"/>
  <c r="H25" i="8"/>
  <c r="H24" i="8"/>
  <c r="H23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C5" i="8" l="1"/>
  <c r="C38" i="8" l="1"/>
  <c r="D32" i="8"/>
  <c r="D31" i="8"/>
  <c r="D38" i="8" s="1"/>
  <c r="D33" i="8"/>
  <c r="F28" i="8" l="1"/>
  <c r="C23" i="8" l="1"/>
  <c r="D5" i="8" l="1"/>
  <c r="H37" i="8" l="1"/>
  <c r="E21" i="2"/>
  <c r="E20" i="2"/>
  <c r="D22" i="2"/>
  <c r="F23" i="8"/>
  <c r="E23" i="8" s="1"/>
  <c r="H2" i="8"/>
  <c r="D28" i="8"/>
  <c r="D4" i="8"/>
  <c r="I13" i="8"/>
  <c r="I21" i="8"/>
  <c r="I20" i="8"/>
  <c r="I18" i="8"/>
  <c r="I17" i="8"/>
  <c r="I16" i="8"/>
  <c r="I15" i="8"/>
  <c r="F5" i="8" l="1"/>
  <c r="E5" i="8" s="1"/>
  <c r="D37" i="8"/>
  <c r="E22" i="2"/>
  <c r="E34" i="8"/>
  <c r="E32" i="8"/>
  <c r="E28" i="8"/>
  <c r="K24" i="8"/>
  <c r="E4" i="8"/>
  <c r="G33" i="8" l="1"/>
  <c r="E33" i="8" s="1"/>
  <c r="E37" i="8"/>
  <c r="G37" i="8" s="1"/>
  <c r="K4" i="8"/>
  <c r="K8" i="8"/>
  <c r="K32" i="8"/>
  <c r="K33" i="8" l="1"/>
  <c r="K36" i="8" s="1"/>
  <c r="E38" i="8"/>
  <c r="F38" i="8" s="1"/>
  <c r="D39" i="8"/>
  <c r="F37" i="8"/>
  <c r="G38" i="8" l="1"/>
  <c r="G39" i="8" s="1"/>
</calcChain>
</file>

<file path=xl/comments1.xml><?xml version="1.0" encoding="utf-8"?>
<comments xmlns="http://schemas.openxmlformats.org/spreadsheetml/2006/main">
  <authors>
    <author>ARMANDO ALBERTAZZI GONCALVES JUNIOR</author>
    <author>Armando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Incluir pontuação para Livros, Capítulos de Livros, Patentes, Organização de Livro.
Equivalência:
capítulo internacional: B3
patente intern: B3
patente nac: B4
capítulo nacional: B4
organização de livro (internac = B2), (nac=B4)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O solicitante precisa indicar as quantidades e as revistas de cada publicação e em que subárea da CAPES foi avaliado (Qualis de que área). Caso não seja classificado, estimar o Qualis com base no fator de impacto do periódico.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Nota máxima saturada em 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Ou produção artístico-cultural (funções do tipo 1 em produções artísticas apresentadas ao público com abrangência internacional)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Ou produção artístico-cultural (funções do tipo 1 em produções artísticas apresentadas ao público com abrangência nacional)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>Ou produção artístico-cultural (funções do tipo 1 em produções artísticas apresentadas ao público com abrangência regional)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 xml:space="preserve">Ou produção artístico-cultural (funções do tipo 1 em produções artísticas apresentadas ao público com abrangência local)
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>Ou produção artístico-cultural (funções do tipo 2 em produções artísticas apresentadas ao público com abrangência internacional)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Ou produção artístico-cultural (funções do tipo 2 em produções artísticas apresentadas ao público com abrangência nacional)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Ou produção artístico-cultural (funções do tipo 2 em produções artísticas apresentadas ao público com abrangência regional)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>Ou produção artístico-cultural (funções do tipo 2 em produções artísticas apresentadas ao público com abrangência local)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>Limita-se a prêmios de caráter científico, tecnológico ou artístico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Nota máxima saturada em 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Nota relacionada com o número de anos por:
0 anos = 10 pontos
1 ano   = 8,3 pontos
2 anos = 6,7 pontos
3 anos = 5 pontos
4 anos = 3,3 pontos
5 anos = 1,7 pontos
&gt;5 anos = 0 pontos</t>
        </r>
      </text>
    </comment>
    <comment ref="G28" authorId="1" shapeId="0">
      <text>
        <r>
          <rPr>
            <b/>
            <sz val="9"/>
            <color indexed="81"/>
            <rFont val="Segoe UI"/>
            <family val="2"/>
          </rPr>
          <t>Inserir ano da conclusão do doutorado (ex 2014)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Não escreva aqui. 
O preenchimento será automático.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Nota máxima saturada em 6,00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É atribuída pontuação adicional de 10% no caso do projeto possuir financiamento externo.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>Nota máxima saturada em 4,00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Nota mínima para aprovação: 6,00</t>
        </r>
      </text>
    </comment>
  </commentList>
</comments>
</file>

<file path=xl/comments2.xml><?xml version="1.0" encoding="utf-8"?>
<comments xmlns="http://schemas.openxmlformats.org/spreadsheetml/2006/main">
  <authors>
    <author>ARMANDO ALBERTAZZI GONCALVES JUNIOR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</commentList>
</comments>
</file>

<file path=xl/sharedStrings.xml><?xml version="1.0" encoding="utf-8"?>
<sst xmlns="http://schemas.openxmlformats.org/spreadsheetml/2006/main" count="103" uniqueCount="84">
  <si>
    <t>Nº</t>
  </si>
  <si>
    <t>Denominação</t>
  </si>
  <si>
    <t>Explicação</t>
  </si>
  <si>
    <t>Peso</t>
  </si>
  <si>
    <t>Pontos</t>
  </si>
  <si>
    <t>Bolsista CNPq</t>
  </si>
  <si>
    <t>Ser bolsista PQ ou DT do CNPq no momento da avaliação</t>
  </si>
  <si>
    <t>Interpretação/explicação</t>
  </si>
  <si>
    <t>PESQUISADOR</t>
  </si>
  <si>
    <t>Tempo de doutorado</t>
  </si>
  <si>
    <t>PROJETO E PLANO DE TRABALHO</t>
  </si>
  <si>
    <t>Existência de financiamento externo</t>
  </si>
  <si>
    <t>SIM</t>
  </si>
  <si>
    <t>NÃO</t>
  </si>
  <si>
    <t>Pesquisador</t>
  </si>
  <si>
    <t>Nota Final</t>
  </si>
  <si>
    <t>Relatório parcial</t>
  </si>
  <si>
    <t>Avaliação do relatório parcial enviado pelo bolsista após correção pelo orientador. (Se não entregou, não estará habilitado a apresentar proposta)</t>
  </si>
  <si>
    <t>PQ1A ou DT1A</t>
  </si>
  <si>
    <t>PQ1B ou DT1B</t>
  </si>
  <si>
    <t>PQ1C ou DT1C</t>
  </si>
  <si>
    <t>PQ1D ou DT1D</t>
  </si>
  <si>
    <t>PQ2 ou DT2</t>
  </si>
  <si>
    <t>Não é bolsista</t>
  </si>
  <si>
    <t>Não se aplica</t>
  </si>
  <si>
    <t>Aplica-se</t>
  </si>
  <si>
    <t>Notas</t>
  </si>
  <si>
    <t>PQ</t>
  </si>
  <si>
    <t>Publ</t>
  </si>
  <si>
    <t>Orient</t>
  </si>
  <si>
    <t>Dout</t>
  </si>
  <si>
    <t>plano</t>
  </si>
  <si>
    <t>fomento</t>
  </si>
  <si>
    <t>Qualidade do projeto a ser desenvolvido e do plano de trabalho previsto para o bolsista (relevância para a formação do bolsista, objetivos claros, atividades previstas, cronograma)</t>
  </si>
  <si>
    <t>Projeto e plano de trabalho</t>
  </si>
  <si>
    <t>Ano-base:</t>
  </si>
  <si>
    <t>Projeto e Plano de Trabalho</t>
  </si>
  <si>
    <t>Quantidade</t>
  </si>
  <si>
    <t>PROJETO DE PESQUISA</t>
  </si>
  <si>
    <t>PLANO DE TRABALHO PARA O BOLSISTA</t>
  </si>
  <si>
    <t>Item de Avaliação</t>
  </si>
  <si>
    <r>
      <rPr>
        <b/>
        <sz val="11"/>
        <color theme="1"/>
        <rFont val="Calibri"/>
        <family val="2"/>
        <scheme val="minor"/>
      </rPr>
      <t>Formato</t>
    </r>
    <r>
      <rPr>
        <sz val="11"/>
        <color theme="1"/>
        <rFont val="Calibri"/>
        <family val="2"/>
        <scheme val="minor"/>
      </rPr>
      <t xml:space="preserve">: </t>
    </r>
  </si>
  <si>
    <t>Apresentação, redação, estruturação organizada...</t>
  </si>
  <si>
    <r>
      <rPr>
        <b/>
        <sz val="11"/>
        <color theme="1"/>
        <rFont val="Calibri"/>
        <family val="2"/>
        <scheme val="minor"/>
      </rPr>
      <t>Mérito Científico</t>
    </r>
    <r>
      <rPr>
        <sz val="11"/>
        <color theme="1"/>
        <rFont val="Calibri"/>
        <family val="2"/>
        <scheme val="minor"/>
      </rPr>
      <t xml:space="preserve"> </t>
    </r>
  </si>
  <si>
    <t>O projeto caracteriza um projeto de pesquisa, com mérito científico?</t>
  </si>
  <si>
    <r>
      <rPr>
        <b/>
        <sz val="11"/>
        <color theme="1"/>
        <rFont val="Calibri"/>
        <family val="2"/>
        <scheme val="minor"/>
      </rPr>
      <t>Contribuições e Relevância Social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</si>
  <si>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Justificativa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</si>
  <si>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Objetivos</t>
    </r>
    <r>
      <rPr>
        <sz val="11"/>
        <color theme="1"/>
        <rFont val="Calibri"/>
        <family val="2"/>
        <scheme val="minor"/>
      </rPr>
      <t xml:space="preserve"> </t>
    </r>
  </si>
  <si>
    <t>Os objetivos gerais e específicos são apresentados claramente, de forma delimitada? Os objetivos específicos definem os diferentes pontos a serem acordados dentro do objetivo geral?</t>
  </si>
  <si>
    <t>Atualização e relevância das referências bibliográficas</t>
  </si>
  <si>
    <r>
      <rPr>
        <b/>
        <sz val="11"/>
        <color theme="1"/>
        <rFont val="Calibri"/>
        <family val="2"/>
        <scheme val="minor"/>
      </rPr>
      <t>Coerência</t>
    </r>
    <r>
      <rPr>
        <sz val="11"/>
        <color theme="1"/>
        <rFont val="Calibri"/>
        <family val="2"/>
        <scheme val="minor"/>
      </rPr>
      <t xml:space="preserve"> dos objetivos propostos com a metodologia a ser utilizada, com os resultados pretendidos e com a avaliação da proposta </t>
    </r>
  </si>
  <si>
    <r>
      <rPr>
        <b/>
        <sz val="11"/>
        <color theme="1"/>
        <rFont val="Calibri"/>
        <family val="2"/>
        <scheme val="minor"/>
      </rPr>
      <t>Adequação</t>
    </r>
    <r>
      <rPr>
        <sz val="11"/>
        <color theme="1"/>
        <rFont val="Calibri"/>
        <family val="2"/>
        <scheme val="minor"/>
      </rPr>
      <t xml:space="preserve"> das atividades previstas à natureza da Iniciação Científica </t>
    </r>
  </si>
  <si>
    <t>As atividades são condizentes com ações específicas para um bolsista de iniciação científica? Nível de dificuldade é adequado? Os pré-requisitos necessários para a realização das atividades são exequíveis por um aluno de graduação?.</t>
  </si>
  <si>
    <r>
      <rPr>
        <b/>
        <sz val="11"/>
        <color theme="1"/>
        <rFont val="Calibri"/>
        <family val="2"/>
        <scheme val="minor"/>
      </rPr>
      <t>Viabilidade temporal e econômica</t>
    </r>
    <r>
      <rPr>
        <sz val="11"/>
        <color theme="1"/>
        <rFont val="Calibri"/>
        <family val="2"/>
        <scheme val="minor"/>
      </rPr>
      <t xml:space="preserve"> da execução das atividades.</t>
    </r>
  </si>
  <si>
    <r>
      <rPr>
        <b/>
        <sz val="11"/>
        <color theme="1"/>
        <rFont val="Calibri"/>
        <family val="2"/>
        <scheme val="minor"/>
      </rPr>
      <t>Relação do plano de trabalho do bolsista com o projeto de pesquisa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</si>
  <si>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Importância das atividades para o sucesso na realização do projeto</t>
    </r>
    <r>
      <rPr>
        <sz val="11"/>
        <color theme="1"/>
        <rFont val="Calibri"/>
        <family val="2"/>
        <scheme val="minor"/>
      </rPr>
      <t/>
    </r>
  </si>
  <si>
    <t>O aluno terá material disponível para realização das atividades? Há viabilidade de tempo para a execução das ações previstas?</t>
  </si>
  <si>
    <t>As atividades realizadas são condizentes com os objetivos do projeto de pesquisa? a execução das ações previstas no plano do aluno está temporalmente relacionada ao prazo proposto no projeto.</t>
  </si>
  <si>
    <t>Nota</t>
  </si>
  <si>
    <t>Sim</t>
  </si>
  <si>
    <t>Não</t>
  </si>
  <si>
    <r>
      <rPr>
        <b/>
        <sz val="11"/>
        <color theme="1"/>
        <rFont val="Calibri"/>
        <family val="2"/>
        <scheme val="minor"/>
      </rPr>
      <t>Limite de páginas</t>
    </r>
    <r>
      <rPr>
        <sz val="11"/>
        <color theme="1"/>
        <rFont val="Calibri"/>
        <family val="2"/>
        <scheme val="minor"/>
      </rPr>
      <t xml:space="preserve"> do projeto.</t>
    </r>
  </si>
  <si>
    <t>Existe descrição sobre a importância da realização do projeto? São apontadas: delimitação, relevância e viabilidade?</t>
  </si>
  <si>
    <t>As contribuições dos resultados do projeto são bem claras? A relevância social – formação de pessoal, transferência de resultados para sociedade, entre outros - é discutida?</t>
  </si>
  <si>
    <t>O levantamento bibliográfico apresentado é atual? Os trabalhos citados são relevantes para a proposta apresentada?</t>
  </si>
  <si>
    <t>A metodologia é apresentada de forma a descrever como cada objetivo será alcançado? Os resultados pretendidos estão relacionados com os objetivos propostos?). A avaliação das soluções propostas é apresentada de forma a provar que os objetivos definidos serão alcançados?</t>
  </si>
  <si>
    <t>Está dentro do limite máximo de 15 páginas? (Sem incluir o plano de trabalho do bolsista).</t>
  </si>
  <si>
    <t>AVALIAÇÃO GLOBAL</t>
  </si>
  <si>
    <t>Projeto de Pesquisa</t>
  </si>
  <si>
    <t>Plano de Trabalho do Bolsista</t>
  </si>
  <si>
    <t>AVALIAÇÃO DO PROJETO DE PESQUISA E PLANO DE TRABALHO</t>
  </si>
  <si>
    <t>Nota Final da Avaliação do Projeto e Plano de Trabalho</t>
  </si>
  <si>
    <t>Preenchimento automático de acordo com nota da planilha "Projeto e Plano de Trabalho"</t>
  </si>
  <si>
    <t>Avaliação de Solicitações de Bolsas IC
- Projeto e Plano de Trabalho -</t>
  </si>
  <si>
    <t>Escolha da lista o tipo de bolsa</t>
  </si>
  <si>
    <t>O projeto-mãe foi aprovado por agência ou financiador externo e receberá aporte de recursos. Não se aplica a projetos viculados apenas às bolsas de produtividade.</t>
  </si>
  <si>
    <r>
      <t>Formação de Recursos Humanos: Orientações</t>
    </r>
    <r>
      <rPr>
        <sz val="11"/>
        <color theme="1"/>
        <rFont val="Calibri"/>
        <family val="2"/>
        <scheme val="minor"/>
      </rPr>
      <t>.</t>
    </r>
  </si>
  <si>
    <t>Número de anos desde que concluiu o doutorado. 
Informe o ano em que obteve o título de doutor.</t>
  </si>
  <si>
    <t>Informe o ano em que concluiu o doutorado (quatro dígitos)</t>
  </si>
  <si>
    <t>Produção científica, tecnológica e/ou artística</t>
  </si>
  <si>
    <t xml:space="preserve">Avaliação de Solicitações de Bolsas PIBIC
- Pesquisador - </t>
  </si>
  <si>
    <t>Nota do relatório final do ciclo 2017/2018. (Se o relatório final não tiver sido entregue, o orientador não estará habilitado a apresentar proposta)</t>
  </si>
  <si>
    <t>Relatório Final do ciclo 2017/2018</t>
  </si>
  <si>
    <t>As atividades do bolsista são importantes, ou contribuem, para que os objetivos do projeto sejam atingidos?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</si>
</sst>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64" fontId="0" fillId="7" borderId="1" xfId="1" applyNumberFormat="1" applyFont="1" applyFill="1" applyBorder="1" applyAlignment="1">
      <alignment horizontal="center"/>
    </xf>
    <xf numFmtId="2" fontId="3" fillId="7" borderId="1" xfId="1" applyNumberFormat="1" applyFont="1" applyFill="1" applyBorder="1" applyAlignment="1">
      <alignment horizontal="center"/>
    </xf>
    <xf numFmtId="14" fontId="0" fillId="0" borderId="0" xfId="0" applyNumberFormat="1"/>
    <xf numFmtId="1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64" fontId="0" fillId="9" borderId="1" xfId="1" applyNumberFormat="1" applyFont="1" applyFill="1" applyBorder="1" applyAlignment="1">
      <alignment horizontal="center" vertical="center"/>
    </xf>
    <xf numFmtId="2" fontId="0" fillId="9" borderId="1" xfId="1" applyNumberFormat="1" applyFont="1" applyFill="1" applyBorder="1" applyAlignment="1">
      <alignment horizontal="center" vertical="center"/>
    </xf>
    <xf numFmtId="1" fontId="0" fillId="9" borderId="1" xfId="1" applyNumberFormat="1" applyFont="1" applyFill="1" applyBorder="1" applyAlignment="1">
      <alignment horizontal="center" vertical="center"/>
    </xf>
    <xf numFmtId="2" fontId="0" fillId="10" borderId="1" xfId="1" applyNumberFormat="1" applyFont="1" applyFill="1" applyBorder="1" applyAlignment="1">
      <alignment horizontal="center" vertical="center"/>
    </xf>
    <xf numFmtId="164" fontId="0" fillId="9" borderId="1" xfId="1" applyNumberFormat="1" applyFont="1" applyFill="1" applyBorder="1" applyAlignment="1">
      <alignment horizontal="center"/>
    </xf>
    <xf numFmtId="2" fontId="0" fillId="9" borderId="1" xfId="1" applyNumberFormat="1" applyFont="1" applyFill="1" applyBorder="1" applyAlignment="1">
      <alignment horizontal="center"/>
    </xf>
    <xf numFmtId="2" fontId="6" fillId="7" borderId="1" xfId="1" applyNumberFormat="1" applyFont="1" applyFill="1" applyBorder="1" applyAlignment="1">
      <alignment horizontal="center"/>
    </xf>
    <xf numFmtId="0" fontId="6" fillId="7" borderId="1" xfId="0" applyFont="1" applyFill="1" applyBorder="1"/>
    <xf numFmtId="0" fontId="0" fillId="0" borderId="0" xfId="0" applyAlignment="1">
      <alignment horizontal="right"/>
    </xf>
    <xf numFmtId="1" fontId="0" fillId="10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0" xfId="0" applyNumberForma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0" fillId="9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" fontId="3" fillId="10" borderId="8" xfId="1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8" fillId="9" borderId="3" xfId="1" applyNumberFormat="1" applyFont="1" applyFill="1" applyBorder="1" applyAlignment="1">
      <alignment horizontal="center" vertical="center"/>
    </xf>
    <xf numFmtId="164" fontId="8" fillId="9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9" fontId="0" fillId="9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1" fontId="0" fillId="10" borderId="1" xfId="1" applyNumberFormat="1" applyFont="1" applyFill="1" applyBorder="1" applyAlignment="1" applyProtection="1">
      <alignment horizontal="center"/>
      <protection locked="0"/>
    </xf>
    <xf numFmtId="2" fontId="0" fillId="10" borderId="1" xfId="1" applyNumberFormat="1" applyFont="1" applyFill="1" applyBorder="1" applyAlignment="1" applyProtection="1">
      <alignment horizontal="center" vertical="center"/>
      <protection locked="0"/>
    </xf>
    <xf numFmtId="1" fontId="0" fillId="8" borderId="1" xfId="1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" fontId="0" fillId="0" borderId="1" xfId="1" applyNumberFormat="1" applyFont="1" applyBorder="1" applyAlignment="1" applyProtection="1">
      <alignment horizontal="center" vertical="center"/>
      <protection locked="0"/>
    </xf>
    <xf numFmtId="1" fontId="0" fillId="10" borderId="1" xfId="1" applyNumberFormat="1" applyFont="1" applyFill="1" applyBorder="1" applyAlignment="1" applyProtection="1">
      <alignment horizontal="center" vertical="center"/>
      <protection locked="0"/>
    </xf>
    <xf numFmtId="2" fontId="0" fillId="10" borderId="1" xfId="1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0" fontId="0" fillId="0" borderId="1" xfId="0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9" borderId="3" xfId="1" applyNumberFormat="1" applyFont="1" applyFill="1" applyBorder="1" applyAlignment="1">
      <alignment horizontal="center" vertical="center"/>
    </xf>
    <xf numFmtId="164" fontId="0" fillId="9" borderId="4" xfId="1" applyNumberFormat="1" applyFont="1" applyFill="1" applyBorder="1" applyAlignment="1">
      <alignment horizontal="center" vertical="center"/>
    </xf>
    <xf numFmtId="164" fontId="0" fillId="9" borderId="5" xfId="1" applyNumberFormat="1" applyFont="1" applyFill="1" applyBorder="1" applyAlignment="1">
      <alignment horizontal="center" vertical="center"/>
    </xf>
    <xf numFmtId="165" fontId="0" fillId="9" borderId="3" xfId="1" applyNumberFormat="1" applyFont="1" applyFill="1" applyBorder="1" applyAlignment="1">
      <alignment horizontal="center" vertical="center"/>
    </xf>
    <xf numFmtId="165" fontId="0" fillId="9" borderId="4" xfId="1" applyNumberFormat="1" applyFont="1" applyFill="1" applyBorder="1" applyAlignment="1">
      <alignment horizontal="center" vertical="center"/>
    </xf>
    <xf numFmtId="165" fontId="0" fillId="9" borderId="5" xfId="1" applyNumberFormat="1" applyFont="1" applyFill="1" applyBorder="1" applyAlignment="1">
      <alignment horizontal="center" vertical="center"/>
    </xf>
    <xf numFmtId="2" fontId="0" fillId="9" borderId="4" xfId="1" applyNumberFormat="1" applyFont="1" applyFill="1" applyBorder="1" applyAlignment="1">
      <alignment horizontal="center" vertical="center"/>
    </xf>
    <xf numFmtId="2" fontId="0" fillId="9" borderId="5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5" borderId="7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0" fillId="9" borderId="3" xfId="1" applyNumberFormat="1" applyFont="1" applyFill="1" applyBorder="1" applyAlignment="1">
      <alignment horizontal="center" vertical="center"/>
    </xf>
    <xf numFmtId="0" fontId="0" fillId="9" borderId="4" xfId="1" applyNumberFormat="1" applyFont="1" applyFill="1" applyBorder="1" applyAlignment="1">
      <alignment horizontal="center" vertical="center"/>
    </xf>
    <xf numFmtId="0" fontId="0" fillId="9" borderId="5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/>
  </cellXfs>
  <cellStyles count="2">
    <cellStyle name="Normal" xfId="0" builtinId="0"/>
    <cellStyle name="Porcentagem" xfId="1" builtinId="5"/>
  </cellStyles>
  <dxfs count="33">
    <dxf>
      <font>
        <color rgb="FF9C0006"/>
      </font>
      <fill>
        <patternFill>
          <bgColor rgb="FFFFC7CE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FFFF99"/>
      <color rgb="FFCCECFF"/>
      <color rgb="FFFFCCCC"/>
      <color rgb="FFFFFFCC"/>
      <color rgb="FFFF7C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86591</xdr:colOff>
      <xdr:row>0</xdr:row>
      <xdr:rowOff>0</xdr:rowOff>
    </xdr:from>
    <xdr:to>
      <xdr:col>1</xdr:col>
      <xdr:colOff>1762169</xdr:colOff>
      <xdr:row>0</xdr:row>
      <xdr:rowOff>927962</xdr:rowOff>
    </xdr:to>
    <xdr:grpSp>
      <xdr:nvGrpSpPr>
        <xdr:cNvPr id="4" name="Grupo 3"/>
        <xdr:cNvGrpSpPr/>
      </xdr:nvGrpSpPr>
      <xdr:grpSpPr>
        <a:xfrm>
          <a:off x="305666" y="0"/>
          <a:ext cx="1675578" cy="927962"/>
          <a:chOff x="11932062" y="371117"/>
          <a:chExt cx="1675578" cy="1163971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129656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113232</xdr:colOff>
      <xdr:row>0</xdr:row>
      <xdr:rowOff>343033</xdr:rowOff>
    </xdr:from>
    <xdr:to>
      <xdr:col>1</xdr:col>
      <xdr:colOff>1788810</xdr:colOff>
      <xdr:row>0</xdr:row>
      <xdr:rowOff>1389238</xdr:rowOff>
    </xdr:to>
    <xdr:grpSp>
      <xdr:nvGrpSpPr>
        <xdr:cNvPr id="4" name="Grupo 3"/>
        <xdr:cNvGrpSpPr/>
      </xdr:nvGrpSpPr>
      <xdr:grpSpPr>
        <a:xfrm>
          <a:off x="303732" y="343033"/>
          <a:ext cx="1675578" cy="1046205"/>
          <a:chOff x="11932062" y="371117"/>
          <a:chExt cx="1675578" cy="1046205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011890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N59"/>
  <sheetViews>
    <sheetView showGridLines="0" tabSelected="1" zoomScaleNormal="100" workbookViewId="0">
      <selection activeCell="G32" activeCellId="2" sqref="G4:G28 E31:G31 G32:H32"/>
    </sheetView>
  </sheetViews>
  <sheetFormatPr defaultRowHeight="15" x14ac:dyDescent="0.25"/>
  <cols>
    <col min="1" max="1" width="3.28515625" bestFit="1" customWidth="1"/>
    <col min="2" max="2" width="34.85546875" customWidth="1"/>
    <col min="3" max="3" width="60.5703125" customWidth="1"/>
    <col min="5" max="5" width="14.85546875" bestFit="1" customWidth="1"/>
    <col min="6" max="6" width="9.7109375" hidden="1" customWidth="1"/>
    <col min="7" max="7" width="15.7109375" bestFit="1" customWidth="1"/>
    <col min="8" max="8" width="97.42578125" bestFit="1" customWidth="1"/>
    <col min="9" max="11" width="9.140625" hidden="1" customWidth="1"/>
    <col min="12" max="12" width="10.85546875" bestFit="1" customWidth="1"/>
  </cols>
  <sheetData>
    <row r="1" spans="1:14" ht="84.75" customHeight="1" x14ac:dyDescent="0.25">
      <c r="C1" s="67" t="s">
        <v>80</v>
      </c>
      <c r="D1" s="68"/>
      <c r="E1" s="68"/>
      <c r="F1" s="69"/>
      <c r="G1" s="68"/>
      <c r="H1" s="68"/>
    </row>
    <row r="2" spans="1:14" x14ac:dyDescent="0.25">
      <c r="A2" s="84" t="s">
        <v>8</v>
      </c>
      <c r="B2" s="85"/>
      <c r="C2" s="85"/>
      <c r="D2" s="86" t="s">
        <v>35</v>
      </c>
      <c r="E2" s="86"/>
      <c r="F2" s="40"/>
      <c r="G2" s="43">
        <v>2019</v>
      </c>
      <c r="H2" s="47" t="str">
        <f>"Janela de Avaliação: "&amp;TEXT(G2-3,"0")&amp;" a "&amp;TEXT(G2,"0")</f>
        <v>Janela de Avaliação: 2016 a 2019</v>
      </c>
    </row>
    <row r="3" spans="1:14" x14ac:dyDescent="0.25">
      <c r="A3" s="8" t="s">
        <v>0</v>
      </c>
      <c r="B3" s="8" t="s">
        <v>1</v>
      </c>
      <c r="C3" s="8" t="s">
        <v>2</v>
      </c>
      <c r="D3" s="9" t="s">
        <v>3</v>
      </c>
      <c r="E3" s="9" t="s">
        <v>4</v>
      </c>
      <c r="F3" s="44"/>
      <c r="G3" s="9" t="s">
        <v>37</v>
      </c>
      <c r="H3" s="8" t="s">
        <v>7</v>
      </c>
    </row>
    <row r="4" spans="1:14" x14ac:dyDescent="0.25">
      <c r="A4" s="52">
        <v>1</v>
      </c>
      <c r="B4" s="53" t="s">
        <v>5</v>
      </c>
      <c r="C4" s="54" t="s">
        <v>6</v>
      </c>
      <c r="D4" s="45">
        <f>IF(G4="Não é bolsista",0%,10%)</f>
        <v>0</v>
      </c>
      <c r="E4" s="23">
        <f>IF(G4="PQ1A ou DT1A",10,0)+IF(G4="PQ1B ou DT1B",10,0)+IF(G4="PQ1C ou DT1C",10,0)+IF(G4="PQ1D ou DT1D",10,0)+IF(G4="PQ2 ou DT2",6,0)</f>
        <v>0</v>
      </c>
      <c r="F4" s="27"/>
      <c r="G4" s="60" t="s">
        <v>23</v>
      </c>
      <c r="H4" s="1" t="s">
        <v>74</v>
      </c>
      <c r="I4" s="16" t="s">
        <v>4</v>
      </c>
      <c r="J4" s="33" t="s">
        <v>27</v>
      </c>
      <c r="K4" s="35">
        <f>E4*D4</f>
        <v>0</v>
      </c>
    </row>
    <row r="5" spans="1:14" x14ac:dyDescent="0.25">
      <c r="A5" s="70">
        <v>2</v>
      </c>
      <c r="B5" s="73" t="s">
        <v>79</v>
      </c>
      <c r="C5" s="73" t="str">
        <f>"Artigos qualificados efetivamente publicados em periódicos entre "&amp;TEXT(G2-3,"0")&amp;" e "&amp;TEXT(G2,"0")&amp;". Caso seja detectada fraude nas informações prestadas pelo solicitante, ele ficará inelegível para participar de Editais do PIBIC pelo prazo de três (03) anos."</f>
        <v>Artigos qualificados efetivamente publicados em periódicos entre 2016 e 2019. Caso seja detectada fraude nas informações prestadas pelo solicitante, ele ficará inelegível para participar de Editais do PIBIC pelo prazo de três (03) anos.</v>
      </c>
      <c r="D5" s="76">
        <f>IF(E31="Aplica-se",30%,36%)*0+0.35</f>
        <v>0.35</v>
      </c>
      <c r="E5" s="79">
        <f>IF(F5&gt;10,10,F5)</f>
        <v>0</v>
      </c>
      <c r="F5" s="82">
        <f>2*(G5*I5+G6*I6+G7*I7+G8*I8+G9*I9+G10*I10+G11*I11+G13*I13+G14*I14+G15*I15+G16*I16+G17*I17+G18*I18+G19*I19+G20*I20+G21*I21)</f>
        <v>0</v>
      </c>
      <c r="G5" s="58"/>
      <c r="H5" s="1" t="str">
        <f>TEXT(I5,"0.00")&amp;" por artigo em periódico com qualis A1"</f>
        <v>1.00 por artigo em periódico com qualis A1</v>
      </c>
      <c r="I5" s="39">
        <v>1</v>
      </c>
      <c r="J5" s="33"/>
      <c r="K5" s="35"/>
    </row>
    <row r="6" spans="1:14" x14ac:dyDescent="0.25">
      <c r="A6" s="71"/>
      <c r="B6" s="74"/>
      <c r="C6" s="74"/>
      <c r="D6" s="77"/>
      <c r="E6" s="80"/>
      <c r="F6" s="82"/>
      <c r="G6" s="58"/>
      <c r="H6" s="1" t="str">
        <f>TEXT(I6,"0.00")&amp;" por artigo em periódico com qualis A2"</f>
        <v>0.80 por artigo em periódico com qualis A2</v>
      </c>
      <c r="I6" s="39">
        <v>0.8</v>
      </c>
      <c r="J6" s="33"/>
      <c r="K6" s="35"/>
    </row>
    <row r="7" spans="1:14" x14ac:dyDescent="0.25">
      <c r="A7" s="71"/>
      <c r="B7" s="74"/>
      <c r="C7" s="74"/>
      <c r="D7" s="77"/>
      <c r="E7" s="80"/>
      <c r="F7" s="82"/>
      <c r="G7" s="58"/>
      <c r="H7" s="1" t="str">
        <f>TEXT(I7,"0.00")&amp;" por artigo em periódico com qualis B1"</f>
        <v>0.70 por artigo em periódico com qualis B1</v>
      </c>
      <c r="I7" s="39">
        <v>0.7</v>
      </c>
      <c r="J7" s="33"/>
      <c r="K7" s="35"/>
    </row>
    <row r="8" spans="1:14" x14ac:dyDescent="0.25">
      <c r="A8" s="71"/>
      <c r="B8" s="74"/>
      <c r="C8" s="74"/>
      <c r="D8" s="77"/>
      <c r="E8" s="80"/>
      <c r="F8" s="82"/>
      <c r="G8" s="58"/>
      <c r="H8" s="1" t="str">
        <f>TEXT(I8,"0.00")&amp;" por artigo em periódico com qualis B2"</f>
        <v>0.60 por artigo em periódico com qualis B2</v>
      </c>
      <c r="I8" s="39">
        <v>0.6</v>
      </c>
      <c r="J8" s="33" t="s">
        <v>28</v>
      </c>
      <c r="K8" s="35">
        <f>D5*E5</f>
        <v>0</v>
      </c>
      <c r="N8" s="65"/>
    </row>
    <row r="9" spans="1:14" x14ac:dyDescent="0.25">
      <c r="A9" s="71"/>
      <c r="B9" s="74"/>
      <c r="C9" s="74"/>
      <c r="D9" s="77"/>
      <c r="E9" s="80"/>
      <c r="F9" s="82"/>
      <c r="G9" s="58"/>
      <c r="H9" s="1" t="str">
        <f>TEXT(I9,"0.00")&amp;" por artigo em periódico com qualis B3"</f>
        <v>0.40 por artigo em periódico com qualis B3</v>
      </c>
      <c r="I9" s="39">
        <v>0.4</v>
      </c>
      <c r="J9" s="33"/>
      <c r="K9" s="35"/>
    </row>
    <row r="10" spans="1:14" x14ac:dyDescent="0.25">
      <c r="A10" s="71"/>
      <c r="B10" s="74"/>
      <c r="C10" s="74"/>
      <c r="D10" s="77"/>
      <c r="E10" s="80"/>
      <c r="F10" s="82"/>
      <c r="G10" s="58"/>
      <c r="H10" s="1" t="str">
        <f>TEXT(I10,"0.00")&amp;" por artigo em periódico com qualis B4"</f>
        <v>0.20 por artigo em periódico com qualis B4</v>
      </c>
      <c r="I10" s="39">
        <v>0.2</v>
      </c>
      <c r="J10" s="33"/>
      <c r="K10" s="35"/>
    </row>
    <row r="11" spans="1:14" x14ac:dyDescent="0.25">
      <c r="A11" s="71"/>
      <c r="B11" s="74"/>
      <c r="C11" s="74"/>
      <c r="D11" s="77"/>
      <c r="E11" s="80"/>
      <c r="F11" s="82"/>
      <c r="G11" s="58"/>
      <c r="H11" s="1" t="str">
        <f>TEXT(I11,"0.00")&amp;" por artigo em periódico com qualis B5"</f>
        <v>0.10 por artigo em periódico com qualis B5</v>
      </c>
      <c r="I11" s="39">
        <v>0.1</v>
      </c>
      <c r="J11" s="33"/>
      <c r="K11" s="35"/>
    </row>
    <row r="12" spans="1:14" x14ac:dyDescent="0.25">
      <c r="A12" s="71"/>
      <c r="B12" s="74"/>
      <c r="C12" s="74"/>
      <c r="D12" s="77"/>
      <c r="E12" s="80"/>
      <c r="F12" s="82"/>
      <c r="G12" s="58"/>
      <c r="H12" s="1" t="str">
        <f>TEXT(I12,"0.00")&amp;" por artigo em periódico com qualis C"</f>
        <v>0.05 por artigo em periódico com qualis C</v>
      </c>
      <c r="I12" s="39">
        <v>0.05</v>
      </c>
      <c r="J12" s="33"/>
      <c r="K12" s="35"/>
    </row>
    <row r="13" spans="1:14" x14ac:dyDescent="0.25">
      <c r="A13" s="71"/>
      <c r="B13" s="74"/>
      <c r="C13" s="74"/>
      <c r="D13" s="77"/>
      <c r="E13" s="80"/>
      <c r="F13" s="82"/>
      <c r="G13" s="58"/>
      <c r="H13" s="1" t="str">
        <f>TEXT(I13,"0.00")&amp;" por trabalho completo em anais de congresso no exterior"</f>
        <v>0.10 por trabalho completo em anais de congresso no exterior</v>
      </c>
      <c r="I13" s="39">
        <f>I11</f>
        <v>0.1</v>
      </c>
      <c r="J13" s="33"/>
      <c r="K13" s="35"/>
    </row>
    <row r="14" spans="1:14" x14ac:dyDescent="0.25">
      <c r="A14" s="71"/>
      <c r="B14" s="74"/>
      <c r="C14" s="74"/>
      <c r="D14" s="77"/>
      <c r="E14" s="80"/>
      <c r="F14" s="82"/>
      <c r="G14" s="58"/>
      <c r="H14" s="1" t="str">
        <f>TEXT(I14,"0.00")&amp;" por trabalhos completos em anais de congresso no país ou artigo traduzido"</f>
        <v>0.05 por trabalhos completos em anais de congresso no país ou artigo traduzido</v>
      </c>
      <c r="I14" s="39">
        <v>0.05</v>
      </c>
      <c r="J14" s="33"/>
      <c r="K14" s="35"/>
    </row>
    <row r="15" spans="1:14" x14ac:dyDescent="0.25">
      <c r="A15" s="71"/>
      <c r="B15" s="74"/>
      <c r="C15" s="74"/>
      <c r="D15" s="77"/>
      <c r="E15" s="80"/>
      <c r="F15" s="82"/>
      <c r="G15" s="58"/>
      <c r="H15" s="105" t="str">
        <f>TEXT(I15,"0.00")&amp;" por livro internacional organizado ou autoria de livro (nacional ou internacional) com ISBN"</f>
        <v>1.00 por livro internacional organizado ou autoria de livro (nacional ou internacional) com ISBN</v>
      </c>
      <c r="I15" s="39">
        <f>I5</f>
        <v>1</v>
      </c>
      <c r="J15" s="33"/>
      <c r="K15" s="35"/>
    </row>
    <row r="16" spans="1:14" x14ac:dyDescent="0.25">
      <c r="A16" s="71"/>
      <c r="B16" s="74"/>
      <c r="C16" s="74"/>
      <c r="D16" s="77"/>
      <c r="E16" s="80"/>
      <c r="F16" s="82"/>
      <c r="G16" s="58"/>
      <c r="H16" s="1" t="str">
        <f>TEXT(I16,"0.00")&amp;" por livro nacional organizado ou livro traduzido com ISBN"</f>
        <v>0.70 por livro nacional organizado ou livro traduzido com ISBN</v>
      </c>
      <c r="I16" s="39">
        <f>I7</f>
        <v>0.7</v>
      </c>
      <c r="J16" s="33"/>
      <c r="K16" s="35"/>
    </row>
    <row r="17" spans="1:12" x14ac:dyDescent="0.25">
      <c r="A17" s="71"/>
      <c r="B17" s="74"/>
      <c r="C17" s="74"/>
      <c r="D17" s="77"/>
      <c r="E17" s="80"/>
      <c r="F17" s="82"/>
      <c r="G17" s="58"/>
      <c r="H17" s="1" t="str">
        <f>TEXT(I17,"0.00")&amp;" por capítulo de livro (internacional)"</f>
        <v>0.60 por capítulo de livro (internacional)</v>
      </c>
      <c r="I17" s="39">
        <f>I8</f>
        <v>0.6</v>
      </c>
      <c r="J17" s="33"/>
      <c r="K17" s="35"/>
    </row>
    <row r="18" spans="1:12" x14ac:dyDescent="0.25">
      <c r="A18" s="71"/>
      <c r="B18" s="74"/>
      <c r="C18" s="74"/>
      <c r="D18" s="77"/>
      <c r="E18" s="80"/>
      <c r="F18" s="82"/>
      <c r="G18" s="58"/>
      <c r="H18" s="1" t="str">
        <f>TEXT(I18,"0.00")&amp;" por capítulo de livro (nacional)"</f>
        <v>0.40 por capítulo de livro (nacional)</v>
      </c>
      <c r="I18" s="39">
        <f>I9</f>
        <v>0.4</v>
      </c>
      <c r="J18" s="33"/>
      <c r="K18" s="35"/>
    </row>
    <row r="19" spans="1:12" x14ac:dyDescent="0.25">
      <c r="A19" s="71"/>
      <c r="B19" s="74"/>
      <c r="C19" s="74"/>
      <c r="D19" s="77"/>
      <c r="E19" s="80"/>
      <c r="F19" s="82"/>
      <c r="G19" s="58"/>
      <c r="H19" s="1" t="str">
        <f>TEXT(I19,"0.00")&amp;" por prêmio ou trabalho premiado (no país ou no exterior)"</f>
        <v>0.85 por prêmio ou trabalho premiado (no país ou no exterior)</v>
      </c>
      <c r="I19" s="39">
        <v>0.85</v>
      </c>
      <c r="J19" s="33"/>
      <c r="K19" s="35"/>
    </row>
    <row r="20" spans="1:12" x14ac:dyDescent="0.25">
      <c r="A20" s="71"/>
      <c r="B20" s="74"/>
      <c r="C20" s="74"/>
      <c r="D20" s="77"/>
      <c r="E20" s="80"/>
      <c r="F20" s="82"/>
      <c r="G20" s="58"/>
      <c r="H20" s="1" t="str">
        <f>TEXT(I20,"0.00")&amp;" por patente internacional concedida"</f>
        <v>1.00 por patente internacional concedida</v>
      </c>
      <c r="I20" s="39">
        <f>I5</f>
        <v>1</v>
      </c>
      <c r="J20" s="33"/>
      <c r="K20" s="35"/>
    </row>
    <row r="21" spans="1:12" x14ac:dyDescent="0.25">
      <c r="A21" s="71"/>
      <c r="B21" s="74"/>
      <c r="C21" s="74"/>
      <c r="D21" s="77"/>
      <c r="E21" s="80"/>
      <c r="F21" s="82"/>
      <c r="G21" s="58"/>
      <c r="H21" s="1" t="str">
        <f>TEXT(I21,"0.00")&amp;" por patente nacional concedida"</f>
        <v>0.70 por patente nacional concedida</v>
      </c>
      <c r="I21" s="39">
        <f>I7</f>
        <v>0.7</v>
      </c>
      <c r="J21" s="33"/>
      <c r="K21" s="35"/>
    </row>
    <row r="22" spans="1:12" x14ac:dyDescent="0.25">
      <c r="A22" s="72"/>
      <c r="B22" s="75"/>
      <c r="C22" s="75"/>
      <c r="D22" s="78"/>
      <c r="E22" s="81"/>
      <c r="F22" s="83"/>
      <c r="G22" s="58"/>
      <c r="H22" s="1"/>
      <c r="I22" s="39">
        <v>0</v>
      </c>
      <c r="J22" s="33"/>
      <c r="K22" s="35"/>
    </row>
    <row r="23" spans="1:12" x14ac:dyDescent="0.25">
      <c r="A23" s="70">
        <v>3</v>
      </c>
      <c r="B23" s="73" t="s">
        <v>76</v>
      </c>
      <c r="C23" s="73" t="str">
        <f>"Orientações no período entre "&amp;TEXT(G2-3,"0")&amp;" e "&amp;TEXT(G2,"0")&amp;". Conte 1,0 para cada orientação concluída, 0,5 para cada coorientação concluída no período. Para orientações em andamento até a presente data conte 0,5 por orientação e 0,25 por coorientação."</f>
        <v>Orientações no período entre 2016 e 2019. Conte 1,0 para cada orientação concluída, 0,5 para cada coorientação concluída no período. Para orientações em andamento até a presente data conte 0,5 por orientação e 0,25 por coorientação.</v>
      </c>
      <c r="D23" s="76">
        <v>0.15</v>
      </c>
      <c r="E23" s="79">
        <f>IF(F23&gt;10,10,F23)</f>
        <v>0</v>
      </c>
      <c r="F23" s="90">
        <f>G23*I23+G24*I24+G25*I25+G26*I26+G27*I27</f>
        <v>0</v>
      </c>
      <c r="G23" s="64"/>
      <c r="H23" s="1" t="str">
        <f>TEXT(I23,"0.0")&amp;" por orientações de doutorado"</f>
        <v>6.0 por orientações de doutorado</v>
      </c>
      <c r="I23" s="39">
        <v>6</v>
      </c>
      <c r="J23" s="33"/>
      <c r="K23" s="35"/>
    </row>
    <row r="24" spans="1:12" x14ac:dyDescent="0.25">
      <c r="A24" s="71"/>
      <c r="B24" s="74"/>
      <c r="C24" s="74"/>
      <c r="D24" s="77"/>
      <c r="E24" s="80"/>
      <c r="F24" s="91"/>
      <c r="G24" s="64"/>
      <c r="H24" s="1" t="str">
        <f>TEXT(I24,"0.0")&amp;" por orientações de mestrado"</f>
        <v>3.0 por orientações de mestrado</v>
      </c>
      <c r="I24" s="39">
        <v>3</v>
      </c>
      <c r="J24" s="33" t="s">
        <v>29</v>
      </c>
      <c r="K24" s="35">
        <f>D23*E23</f>
        <v>0</v>
      </c>
    </row>
    <row r="25" spans="1:12" x14ac:dyDescent="0.25">
      <c r="A25" s="71"/>
      <c r="B25" s="74"/>
      <c r="C25" s="74"/>
      <c r="D25" s="77"/>
      <c r="E25" s="80"/>
      <c r="F25" s="91"/>
      <c r="G25" s="64"/>
      <c r="H25" s="1" t="str">
        <f>TEXT(I25,"0.0")&amp;" por supervisão de pós-doutorado"</f>
        <v>3.0 por supervisão de pós-doutorado</v>
      </c>
      <c r="I25" s="39">
        <v>3</v>
      </c>
      <c r="J25" s="33"/>
      <c r="K25" s="35"/>
    </row>
    <row r="26" spans="1:12" x14ac:dyDescent="0.25">
      <c r="A26" s="71"/>
      <c r="B26" s="74"/>
      <c r="C26" s="74"/>
      <c r="D26" s="77"/>
      <c r="E26" s="80"/>
      <c r="F26" s="91"/>
      <c r="G26" s="64"/>
      <c r="H26" s="1" t="str">
        <f>TEXT(I26,"0.0")&amp;" por orientações de IC, TCC ou especialização"</f>
        <v>1.5 por orientações de IC, TCC ou especialização</v>
      </c>
      <c r="I26" s="39">
        <v>1.5</v>
      </c>
      <c r="J26" s="33"/>
      <c r="K26" s="35"/>
    </row>
    <row r="27" spans="1:12" x14ac:dyDescent="0.25">
      <c r="A27" s="71"/>
      <c r="B27" s="75"/>
      <c r="C27" s="74"/>
      <c r="D27" s="78"/>
      <c r="E27" s="80"/>
      <c r="F27" s="92"/>
      <c r="G27" s="58"/>
      <c r="H27" s="1"/>
      <c r="I27" s="39">
        <v>2</v>
      </c>
      <c r="J27" s="33"/>
      <c r="K27" s="35"/>
      <c r="L27" s="22"/>
    </row>
    <row r="28" spans="1:12" ht="30" x14ac:dyDescent="0.25">
      <c r="A28" s="13">
        <v>4</v>
      </c>
      <c r="B28" s="11" t="s">
        <v>9</v>
      </c>
      <c r="C28" s="10" t="s">
        <v>77</v>
      </c>
      <c r="D28" s="46">
        <f>IF(G4="Não é bolsista",10%,0%)</f>
        <v>0.1</v>
      </c>
      <c r="E28" s="26">
        <f>IF(F28&gt;5,0,IF(F28&lt;0,-5,(6-F28)/0.6))</f>
        <v>0</v>
      </c>
      <c r="F28" s="26">
        <f>G2-G28</f>
        <v>2019</v>
      </c>
      <c r="G28" s="63"/>
      <c r="H28" s="24" t="s">
        <v>78</v>
      </c>
      <c r="J28" s="33" t="s">
        <v>30</v>
      </c>
      <c r="K28" s="35"/>
      <c r="L28" s="22"/>
    </row>
    <row r="29" spans="1:12" x14ac:dyDescent="0.25">
      <c r="A29" s="87" t="s">
        <v>10</v>
      </c>
      <c r="B29" s="88"/>
      <c r="C29" s="88"/>
      <c r="D29" s="88"/>
      <c r="E29" s="88"/>
      <c r="F29" s="88"/>
      <c r="G29" s="88"/>
      <c r="H29" s="89"/>
      <c r="J29" s="33"/>
      <c r="K29" s="36"/>
    </row>
    <row r="30" spans="1:12" x14ac:dyDescent="0.25">
      <c r="A30" s="6" t="s">
        <v>0</v>
      </c>
      <c r="B30" s="6" t="s">
        <v>1</v>
      </c>
      <c r="C30" s="6" t="s">
        <v>2</v>
      </c>
      <c r="D30" s="7" t="s">
        <v>3</v>
      </c>
      <c r="E30" s="7" t="s">
        <v>4</v>
      </c>
      <c r="F30" s="7"/>
      <c r="G30" s="7" t="s">
        <v>26</v>
      </c>
      <c r="H30" s="6" t="s">
        <v>7</v>
      </c>
      <c r="J30" s="33"/>
      <c r="K30" s="35"/>
    </row>
    <row r="31" spans="1:12" ht="45" x14ac:dyDescent="0.25">
      <c r="A31" s="6">
        <v>6</v>
      </c>
      <c r="B31" s="56" t="s">
        <v>82</v>
      </c>
      <c r="C31" s="38" t="s">
        <v>81</v>
      </c>
      <c r="D31" s="42">
        <f>IF(E31="Aplica-se",15%,0)</f>
        <v>0</v>
      </c>
      <c r="E31" s="61" t="s">
        <v>24</v>
      </c>
      <c r="F31" s="12"/>
      <c r="G31" s="59"/>
      <c r="H31" s="6"/>
      <c r="J31" s="33"/>
      <c r="K31" s="35"/>
    </row>
    <row r="32" spans="1:12" ht="45" x14ac:dyDescent="0.25">
      <c r="A32" s="7">
        <v>7</v>
      </c>
      <c r="B32" s="15" t="s">
        <v>11</v>
      </c>
      <c r="C32" s="37" t="s">
        <v>75</v>
      </c>
      <c r="D32" s="25">
        <f>IF(G32="SIM",10%,0%)</f>
        <v>0</v>
      </c>
      <c r="E32" s="41">
        <f>IF(G32="SIM",10,0)</f>
        <v>0</v>
      </c>
      <c r="F32" s="41"/>
      <c r="G32" s="62" t="s">
        <v>13</v>
      </c>
      <c r="H32" s="28"/>
      <c r="J32" s="33" t="s">
        <v>32</v>
      </c>
      <c r="K32" s="35">
        <f t="shared" ref="K32:K33" si="0">E32*D32</f>
        <v>0</v>
      </c>
    </row>
    <row r="33" spans="1:11" ht="45" x14ac:dyDescent="0.25">
      <c r="A33" s="12">
        <v>8</v>
      </c>
      <c r="B33" s="15" t="s">
        <v>34</v>
      </c>
      <c r="C33" s="10" t="s">
        <v>33</v>
      </c>
      <c r="D33" s="25">
        <f>IF(E31="Aplica-se",25%,40%)</f>
        <v>0.4</v>
      </c>
      <c r="E33" s="27">
        <f>G33</f>
        <v>0</v>
      </c>
      <c r="F33" s="27"/>
      <c r="G33" s="26">
        <f>'2 - Projeto e Plano de Trabalho'!E22</f>
        <v>0</v>
      </c>
      <c r="H33" s="57" t="s">
        <v>72</v>
      </c>
      <c r="J33" s="33" t="s">
        <v>31</v>
      </c>
      <c r="K33" s="35">
        <f t="shared" si="0"/>
        <v>0</v>
      </c>
    </row>
    <row r="34" spans="1:11" ht="45" hidden="1" x14ac:dyDescent="0.25">
      <c r="A34" s="12"/>
      <c r="B34" s="15" t="s">
        <v>16</v>
      </c>
      <c r="C34" s="10" t="s">
        <v>17</v>
      </c>
      <c r="D34" s="25">
        <v>0.1</v>
      </c>
      <c r="E34" s="27" t="e">
        <f>IF(#REF!="Aplica-se",10%,0)</f>
        <v>#REF!</v>
      </c>
      <c r="F34" s="27"/>
      <c r="G34" s="34">
        <v>7</v>
      </c>
      <c r="H34" s="15"/>
      <c r="I34" s="33"/>
      <c r="J34" s="33"/>
      <c r="K34" s="35"/>
    </row>
    <row r="35" spans="1:11" hidden="1" x14ac:dyDescent="0.25">
      <c r="A35" s="2"/>
      <c r="B35" s="1"/>
      <c r="C35" s="1"/>
      <c r="D35" s="4"/>
      <c r="E35" s="17"/>
      <c r="F35" s="17"/>
      <c r="G35" s="23"/>
      <c r="H35" s="1"/>
      <c r="K35" s="35"/>
    </row>
    <row r="36" spans="1:11" x14ac:dyDescent="0.25">
      <c r="A36" s="96" t="s">
        <v>67</v>
      </c>
      <c r="B36" s="97"/>
      <c r="C36" s="97"/>
      <c r="D36" s="97"/>
      <c r="E36" s="97"/>
      <c r="F36" s="97"/>
      <c r="G36" s="97"/>
      <c r="H36" s="98"/>
      <c r="K36" s="36">
        <f>SUM(K32:K33)</f>
        <v>0</v>
      </c>
    </row>
    <row r="37" spans="1:11" x14ac:dyDescent="0.25">
      <c r="A37" s="3"/>
      <c r="B37" s="1" t="s">
        <v>14</v>
      </c>
      <c r="C37" s="1"/>
      <c r="D37" s="29">
        <f>D28+D23+D5+D4</f>
        <v>0.6</v>
      </c>
      <c r="E37" s="30">
        <f>D4*E4+D5*E5+D23*E23+D28*E28</f>
        <v>0</v>
      </c>
      <c r="F37" s="30">
        <f>E37/0.6</f>
        <v>0</v>
      </c>
      <c r="G37" s="30">
        <f>IF(E37&gt;6,6,E37)</f>
        <v>0</v>
      </c>
      <c r="H37" s="93" t="str">
        <f>IF('2 - Projeto e Plano de Trabalho'!D4="Não","DESCLASSIFICADO: Excede 15 páginas","")</f>
        <v/>
      </c>
    </row>
    <row r="38" spans="1:11" x14ac:dyDescent="0.25">
      <c r="A38" s="14"/>
      <c r="B38" s="1" t="s">
        <v>36</v>
      </c>
      <c r="C38" s="66" t="str">
        <f>IF(G32="SIM","+10%","")</f>
        <v/>
      </c>
      <c r="D38" s="29">
        <f>D31+D33</f>
        <v>0.4</v>
      </c>
      <c r="E38" s="30">
        <f>D32*E32+D33*E33+D31*G31</f>
        <v>0</v>
      </c>
      <c r="F38" s="30">
        <f>E38/0.4</f>
        <v>0</v>
      </c>
      <c r="G38" s="30">
        <f>IF(E38&gt;4,4,E38)</f>
        <v>0</v>
      </c>
      <c r="H38" s="94"/>
    </row>
    <row r="39" spans="1:11" ht="18.75" x14ac:dyDescent="0.3">
      <c r="A39" s="18"/>
      <c r="B39" s="32" t="s">
        <v>15</v>
      </c>
      <c r="C39" s="19"/>
      <c r="D39" s="20">
        <f>D37+D38</f>
        <v>1</v>
      </c>
      <c r="E39" s="21"/>
      <c r="F39" s="21"/>
      <c r="G39" s="31">
        <f>G37+G38</f>
        <v>0</v>
      </c>
      <c r="H39" s="95"/>
    </row>
    <row r="40" spans="1:11" hidden="1" x14ac:dyDescent="0.25">
      <c r="A40" s="2"/>
      <c r="B40" s="1"/>
      <c r="C40" s="1"/>
      <c r="D40" s="4"/>
      <c r="E40" s="17"/>
      <c r="F40" s="17"/>
      <c r="G40" s="5"/>
      <c r="H40" s="1"/>
    </row>
    <row r="41" spans="1:11" hidden="1" x14ac:dyDescent="0.25">
      <c r="A41" s="2"/>
      <c r="B41" s="1"/>
      <c r="C41" s="1"/>
      <c r="D41" s="4"/>
      <c r="E41" s="17"/>
      <c r="F41" s="17"/>
      <c r="G41" s="5"/>
      <c r="H41" s="1"/>
    </row>
    <row r="52" spans="5:7" x14ac:dyDescent="0.25">
      <c r="E52" t="s">
        <v>25</v>
      </c>
      <c r="G52" s="16" t="s">
        <v>12</v>
      </c>
    </row>
    <row r="53" spans="5:7" x14ac:dyDescent="0.25">
      <c r="E53" t="s">
        <v>24</v>
      </c>
      <c r="G53" s="16" t="s">
        <v>13</v>
      </c>
    </row>
    <row r="54" spans="5:7" x14ac:dyDescent="0.25">
      <c r="G54" t="s">
        <v>18</v>
      </c>
    </row>
    <row r="55" spans="5:7" x14ac:dyDescent="0.25">
      <c r="G55" t="s">
        <v>19</v>
      </c>
    </row>
    <row r="56" spans="5:7" x14ac:dyDescent="0.25">
      <c r="G56" t="s">
        <v>20</v>
      </c>
    </row>
    <row r="57" spans="5:7" x14ac:dyDescent="0.25">
      <c r="G57" t="s">
        <v>21</v>
      </c>
    </row>
    <row r="58" spans="5:7" x14ac:dyDescent="0.25">
      <c r="G58" t="s">
        <v>22</v>
      </c>
    </row>
    <row r="59" spans="5:7" x14ac:dyDescent="0.25">
      <c r="G59" t="s">
        <v>23</v>
      </c>
    </row>
  </sheetData>
  <sheetProtection algorithmName="SHA-512" hashValue="Bvw72nyNzxCdeOUBVeo4nne8uznW5aiGmMazxzj6oQFhc+7D5gbJeHiJUos6qZuWUWJEh8rKwsLtVxOmS3yzhA==" saltValue="/YeHaJkoifpuTdrLkgwSMQ==" spinCount="100000" sheet="1" objects="1" scenarios="1" selectLockedCells="1"/>
  <mergeCells count="18">
    <mergeCell ref="D23:D27"/>
    <mergeCell ref="E23:E27"/>
    <mergeCell ref="A29:H29"/>
    <mergeCell ref="F23:F27"/>
    <mergeCell ref="H37:H39"/>
    <mergeCell ref="A36:H36"/>
    <mergeCell ref="A23:A27"/>
    <mergeCell ref="B23:B27"/>
    <mergeCell ref="C23:C27"/>
    <mergeCell ref="C1:H1"/>
    <mergeCell ref="A5:A22"/>
    <mergeCell ref="B5:B22"/>
    <mergeCell ref="C5:C22"/>
    <mergeCell ref="D5:D22"/>
    <mergeCell ref="E5:E22"/>
    <mergeCell ref="F5:F22"/>
    <mergeCell ref="A2:C2"/>
    <mergeCell ref="D2:E2"/>
  </mergeCells>
  <conditionalFormatting sqref="G32">
    <cfRule type="cellIs" dxfId="32" priority="38" operator="equal">
      <formula>"NÃO"</formula>
    </cfRule>
    <cfRule type="cellIs" dxfId="31" priority="39" operator="equal">
      <formula>"SIM"</formula>
    </cfRule>
  </conditionalFormatting>
  <conditionalFormatting sqref="G4">
    <cfRule type="cellIs" dxfId="30" priority="11" operator="equal">
      <formula>10</formula>
    </cfRule>
    <cfRule type="cellIs" dxfId="29" priority="31" operator="equal">
      <formula>"PQ2 ou DT2"</formula>
    </cfRule>
    <cfRule type="cellIs" dxfId="28" priority="32" operator="equal">
      <formula>"Não é bolsista"</formula>
    </cfRule>
  </conditionalFormatting>
  <conditionalFormatting sqref="G5:G22">
    <cfRule type="cellIs" dxfId="27" priority="30" operator="greaterThan">
      <formula>0</formula>
    </cfRule>
  </conditionalFormatting>
  <conditionalFormatting sqref="G23:G27">
    <cfRule type="cellIs" dxfId="26" priority="29" operator="greaterThan">
      <formula>0</formula>
    </cfRule>
  </conditionalFormatting>
  <conditionalFormatting sqref="G34">
    <cfRule type="cellIs" dxfId="25" priority="28" operator="greaterThan">
      <formula>0</formula>
    </cfRule>
  </conditionalFormatting>
  <conditionalFormatting sqref="G35">
    <cfRule type="cellIs" dxfId="24" priority="27" operator="greaterThan">
      <formula>0</formula>
    </cfRule>
  </conditionalFormatting>
  <conditionalFormatting sqref="G39">
    <cfRule type="cellIs" dxfId="23" priority="24" operator="lessThan">
      <formula>6</formula>
    </cfRule>
    <cfRule type="cellIs" dxfId="22" priority="25" operator="greaterThanOrEqual">
      <formula>6</formula>
    </cfRule>
  </conditionalFormatting>
  <conditionalFormatting sqref="G28">
    <cfRule type="cellIs" dxfId="21" priority="23" operator="greaterThan">
      <formula>0</formula>
    </cfRule>
  </conditionalFormatting>
  <conditionalFormatting sqref="E31">
    <cfRule type="cellIs" dxfId="20" priority="21" operator="equal">
      <formula>"Não se aplica"</formula>
    </cfRule>
    <cfRule type="cellIs" dxfId="19" priority="22" operator="equal">
      <formula>"Aplica-se"</formula>
    </cfRule>
  </conditionalFormatting>
  <conditionalFormatting sqref="E5:E22">
    <cfRule type="cellIs" dxfId="18" priority="19" operator="equal">
      <formula>10</formula>
    </cfRule>
  </conditionalFormatting>
  <conditionalFormatting sqref="E23:E27">
    <cfRule type="cellIs" dxfId="17" priority="18" operator="equal">
      <formula>10</formula>
    </cfRule>
  </conditionalFormatting>
  <conditionalFormatting sqref="E28">
    <cfRule type="cellIs" dxfId="16" priority="17" operator="equal">
      <formula>10</formula>
    </cfRule>
  </conditionalFormatting>
  <conditionalFormatting sqref="G31">
    <cfRule type="cellIs" dxfId="15" priority="15" operator="greaterThan">
      <formula>0</formula>
    </cfRule>
  </conditionalFormatting>
  <conditionalFormatting sqref="E4">
    <cfRule type="cellIs" dxfId="14" priority="8" operator="equal">
      <formula>0</formula>
    </cfRule>
    <cfRule type="cellIs" dxfId="13" priority="9" operator="equal">
      <formula>6</formula>
    </cfRule>
    <cfRule type="cellIs" dxfId="12" priority="10" operator="equal">
      <formula>10</formula>
    </cfRule>
  </conditionalFormatting>
  <conditionalFormatting sqref="G2">
    <cfRule type="cellIs" dxfId="11" priority="5" operator="greaterThan">
      <formula>0</formula>
    </cfRule>
  </conditionalFormatting>
  <conditionalFormatting sqref="D4">
    <cfRule type="cellIs" dxfId="10" priority="4" operator="equal">
      <formula>0</formula>
    </cfRule>
  </conditionalFormatting>
  <conditionalFormatting sqref="D28">
    <cfRule type="cellIs" dxfId="9" priority="3" operator="equal">
      <formula>0</formula>
    </cfRule>
  </conditionalFormatting>
  <conditionalFormatting sqref="H37:H39">
    <cfRule type="cellIs" dxfId="8" priority="2" operator="equal">
      <formula>"DESCLASSIFICADO: Excede 15 páginas"</formula>
    </cfRule>
  </conditionalFormatting>
  <conditionalFormatting sqref="H32">
    <cfRule type="cellIs" dxfId="7" priority="1" operator="greaterThan">
      <formula>0</formula>
    </cfRule>
  </conditionalFormatting>
  <dataValidations count="5">
    <dataValidation type="list" allowBlank="1" showInputMessage="1" showErrorMessage="1" sqref="E31">
      <formula1>$E$52:$E$53</formula1>
    </dataValidation>
    <dataValidation type="list" allowBlank="1" showInputMessage="1" showErrorMessage="1" sqref="G4">
      <formula1>$G$54:$G$59</formula1>
    </dataValidation>
    <dataValidation type="list" allowBlank="1" showInputMessage="1" showErrorMessage="1" sqref="G32">
      <formula1>$G$52:$G$53</formula1>
    </dataValidation>
    <dataValidation type="decimal" errorStyle="warning" allowBlank="1" showInputMessage="1" showErrorMessage="1" error="Atribuir nota entre 0 e 10" sqref="G31 G5:G27">
      <formula1>0</formula1>
      <formula2>10</formula2>
    </dataValidation>
    <dataValidation type="whole" operator="lessThanOrEqual" allowBlank="1" showInputMessage="1" showErrorMessage="1" sqref="G28">
      <formula1>G2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E39"/>
  <sheetViews>
    <sheetView showGridLines="0" topLeftCell="A4" zoomScaleNormal="100" workbookViewId="0">
      <selection activeCell="E14" activeCellId="2" sqref="D4:E4 E5:E11 E14:E17"/>
    </sheetView>
  </sheetViews>
  <sheetFormatPr defaultRowHeight="15" x14ac:dyDescent="0.25"/>
  <cols>
    <col min="1" max="1" width="2.85546875" style="50" customWidth="1"/>
    <col min="2" max="2" width="34.7109375" style="50" customWidth="1"/>
    <col min="3" max="3" width="60.7109375" style="50" customWidth="1"/>
    <col min="4" max="16384" width="9.140625" style="50"/>
  </cols>
  <sheetData>
    <row r="1" spans="1:5" ht="123" customHeight="1" x14ac:dyDescent="0.25">
      <c r="C1" s="67" t="s">
        <v>73</v>
      </c>
      <c r="D1" s="69"/>
      <c r="E1" s="69"/>
    </row>
    <row r="2" spans="1:5" x14ac:dyDescent="0.25">
      <c r="A2" s="103" t="s">
        <v>38</v>
      </c>
      <c r="B2" s="103"/>
      <c r="C2" s="103"/>
      <c r="D2" s="103"/>
      <c r="E2" s="103"/>
    </row>
    <row r="3" spans="1:5" x14ac:dyDescent="0.25">
      <c r="A3" s="6" t="s">
        <v>0</v>
      </c>
      <c r="B3" s="6" t="s">
        <v>40</v>
      </c>
      <c r="C3" s="6" t="s">
        <v>2</v>
      </c>
      <c r="D3" s="7" t="s">
        <v>3</v>
      </c>
      <c r="E3" s="7" t="s">
        <v>58</v>
      </c>
    </row>
    <row r="4" spans="1:5" ht="30" x14ac:dyDescent="0.25">
      <c r="A4" s="12"/>
      <c r="B4" s="15" t="s">
        <v>61</v>
      </c>
      <c r="C4" s="48" t="s">
        <v>66</v>
      </c>
      <c r="D4" s="104" t="s">
        <v>59</v>
      </c>
      <c r="E4" s="104"/>
    </row>
    <row r="5" spans="1:5" x14ac:dyDescent="0.25">
      <c r="A5" s="12">
        <v>1</v>
      </c>
      <c r="B5" s="48" t="s">
        <v>41</v>
      </c>
      <c r="C5" s="48" t="s">
        <v>42</v>
      </c>
      <c r="D5" s="55">
        <v>0.1</v>
      </c>
      <c r="E5" s="63"/>
    </row>
    <row r="6" spans="1:5" ht="30" x14ac:dyDescent="0.25">
      <c r="A6" s="12">
        <v>2</v>
      </c>
      <c r="B6" s="48" t="s">
        <v>43</v>
      </c>
      <c r="C6" s="48" t="s">
        <v>44</v>
      </c>
      <c r="D6" s="55">
        <v>0.2</v>
      </c>
      <c r="E6" s="63"/>
    </row>
    <row r="7" spans="1:5" ht="45" x14ac:dyDescent="0.25">
      <c r="A7" s="12">
        <v>3</v>
      </c>
      <c r="B7" s="48" t="s">
        <v>45</v>
      </c>
      <c r="C7" s="48" t="s">
        <v>63</v>
      </c>
      <c r="D7" s="55">
        <v>0.15</v>
      </c>
      <c r="E7" s="63"/>
    </row>
    <row r="8" spans="1:5" ht="31.5" customHeight="1" x14ac:dyDescent="0.25">
      <c r="A8" s="12">
        <v>4</v>
      </c>
      <c r="B8" s="48" t="s">
        <v>46</v>
      </c>
      <c r="C8" s="48" t="s">
        <v>62</v>
      </c>
      <c r="D8" s="55">
        <v>0.15</v>
      </c>
      <c r="E8" s="63"/>
    </row>
    <row r="9" spans="1:5" ht="46.5" customHeight="1" x14ac:dyDescent="0.25">
      <c r="A9" s="12">
        <v>5</v>
      </c>
      <c r="B9" s="48" t="s">
        <v>47</v>
      </c>
      <c r="C9" s="48" t="s">
        <v>48</v>
      </c>
      <c r="D9" s="55">
        <v>0.1</v>
      </c>
      <c r="E9" s="63"/>
    </row>
    <row r="10" spans="1:5" ht="31.5" customHeight="1" x14ac:dyDescent="0.25">
      <c r="A10" s="12">
        <v>6</v>
      </c>
      <c r="B10" s="49" t="s">
        <v>49</v>
      </c>
      <c r="C10" s="48" t="s">
        <v>64</v>
      </c>
      <c r="D10" s="55">
        <v>0.1</v>
      </c>
      <c r="E10" s="63"/>
    </row>
    <row r="11" spans="1:5" ht="75" x14ac:dyDescent="0.25">
      <c r="A11" s="12">
        <v>7</v>
      </c>
      <c r="B11" s="48" t="s">
        <v>50</v>
      </c>
      <c r="C11" s="48" t="s">
        <v>65</v>
      </c>
      <c r="D11" s="55">
        <v>0.2</v>
      </c>
      <c r="E11" s="63"/>
    </row>
    <row r="12" spans="1:5" x14ac:dyDescent="0.25">
      <c r="A12" s="103" t="s">
        <v>39</v>
      </c>
      <c r="B12" s="103"/>
      <c r="C12" s="103"/>
      <c r="D12" s="103"/>
      <c r="E12" s="103"/>
    </row>
    <row r="13" spans="1:5" x14ac:dyDescent="0.25">
      <c r="A13" s="12" t="s">
        <v>0</v>
      </c>
      <c r="B13" s="51" t="s">
        <v>40</v>
      </c>
      <c r="C13" s="51" t="s">
        <v>2</v>
      </c>
      <c r="D13" s="7" t="s">
        <v>3</v>
      </c>
      <c r="E13" s="7" t="s">
        <v>58</v>
      </c>
    </row>
    <row r="14" spans="1:5" ht="60" x14ac:dyDescent="0.25">
      <c r="A14" s="12">
        <v>1</v>
      </c>
      <c r="B14" s="48" t="s">
        <v>51</v>
      </c>
      <c r="C14" s="48" t="s">
        <v>52</v>
      </c>
      <c r="D14" s="55">
        <v>0.3</v>
      </c>
      <c r="E14" s="63"/>
    </row>
    <row r="15" spans="1:5" ht="45" customHeight="1" x14ac:dyDescent="0.25">
      <c r="A15" s="12">
        <v>2</v>
      </c>
      <c r="B15" s="48" t="s">
        <v>53</v>
      </c>
      <c r="C15" s="48" t="s">
        <v>56</v>
      </c>
      <c r="D15" s="55">
        <v>0.2</v>
      </c>
      <c r="E15" s="63"/>
    </row>
    <row r="16" spans="1:5" ht="60" x14ac:dyDescent="0.25">
      <c r="A16" s="12">
        <v>3</v>
      </c>
      <c r="B16" s="48" t="s">
        <v>54</v>
      </c>
      <c r="C16" s="48" t="s">
        <v>57</v>
      </c>
      <c r="D16" s="55">
        <v>0.3</v>
      </c>
      <c r="E16" s="63"/>
    </row>
    <row r="17" spans="1:5" ht="30" x14ac:dyDescent="0.25">
      <c r="A17" s="12">
        <v>4</v>
      </c>
      <c r="B17" s="48" t="s">
        <v>55</v>
      </c>
      <c r="C17" s="48" t="s">
        <v>83</v>
      </c>
      <c r="D17" s="55">
        <v>0.2</v>
      </c>
      <c r="E17" s="63"/>
    </row>
    <row r="19" spans="1:5" x14ac:dyDescent="0.25">
      <c r="A19" s="96" t="s">
        <v>70</v>
      </c>
      <c r="B19" s="97"/>
      <c r="C19" s="97"/>
      <c r="D19" s="97"/>
      <c r="E19" s="97"/>
    </row>
    <row r="20" spans="1:5" x14ac:dyDescent="0.25">
      <c r="A20" s="14"/>
      <c r="B20" s="99" t="s">
        <v>68</v>
      </c>
      <c r="C20" s="100"/>
      <c r="D20" s="29">
        <v>0.4</v>
      </c>
      <c r="E20" s="30">
        <f>D20*(D5*E5+D6*E6+D7*E7+D8*E8+D9*E9+D10*E10+D11*E11)</f>
        <v>0</v>
      </c>
    </row>
    <row r="21" spans="1:5" x14ac:dyDescent="0.25">
      <c r="A21" s="14"/>
      <c r="B21" s="99" t="s">
        <v>69</v>
      </c>
      <c r="C21" s="100"/>
      <c r="D21" s="29">
        <v>0.6</v>
      </c>
      <c r="E21" s="30">
        <f>D21*(D14*E14+D15*E15+D16*E16+D17*E17)</f>
        <v>0</v>
      </c>
    </row>
    <row r="22" spans="1:5" ht="18.75" x14ac:dyDescent="0.3">
      <c r="A22" s="18"/>
      <c r="B22" s="101" t="s">
        <v>71</v>
      </c>
      <c r="C22" s="102"/>
      <c r="D22" s="20">
        <f>D20+D21</f>
        <v>1</v>
      </c>
      <c r="E22" s="21">
        <f>E20+E21</f>
        <v>0</v>
      </c>
    </row>
    <row r="38" spans="4:4" hidden="1" x14ac:dyDescent="0.25">
      <c r="D38" s="50" t="s">
        <v>59</v>
      </c>
    </row>
    <row r="39" spans="4:4" hidden="1" x14ac:dyDescent="0.25">
      <c r="D39" s="50" t="s">
        <v>60</v>
      </c>
    </row>
  </sheetData>
  <sheetProtection algorithmName="SHA-512" hashValue="GOJ9Wbkn64wA5YQfvSA4d7sHm7IO7rvTrctQxo7BCACgcg8ODduTXYFuuSVBYSN2RG6IhGHbgFp+l1svdM173A==" saltValue="XdGcKULp8iGza/VFr1Zwcg==" spinCount="100000" sheet="1" objects="1" scenarios="1" selectLockedCells="1"/>
  <mergeCells count="8">
    <mergeCell ref="A19:E19"/>
    <mergeCell ref="B20:C20"/>
    <mergeCell ref="B21:C21"/>
    <mergeCell ref="B22:C22"/>
    <mergeCell ref="C1:E1"/>
    <mergeCell ref="D4:E4"/>
    <mergeCell ref="A2:E2"/>
    <mergeCell ref="A12:E12"/>
  </mergeCells>
  <conditionalFormatting sqref="D4">
    <cfRule type="cellIs" dxfId="6" priority="9" operator="equal">
      <formula>"Não"</formula>
    </cfRule>
    <cfRule type="cellIs" dxfId="5" priority="10" operator="equal">
      <formula>"Não"</formula>
    </cfRule>
    <cfRule type="cellIs" dxfId="4" priority="11" operator="equal">
      <formula>"Sim"</formula>
    </cfRule>
  </conditionalFormatting>
  <conditionalFormatting sqref="E5:E11">
    <cfRule type="cellIs" dxfId="3" priority="8" operator="greaterThan">
      <formula>0</formula>
    </cfRule>
  </conditionalFormatting>
  <conditionalFormatting sqref="E14:E17">
    <cfRule type="cellIs" dxfId="2" priority="7" operator="greaterThan">
      <formula>0</formula>
    </cfRule>
  </conditionalFormatting>
  <conditionalFormatting sqref="E22">
    <cfRule type="cellIs" dxfId="1" priority="1" operator="greaterThanOrEqual">
      <formula>6</formula>
    </cfRule>
    <cfRule type="cellIs" dxfId="0" priority="2" operator="lessThan">
      <formula>6</formula>
    </cfRule>
  </conditionalFormatting>
  <dataValidations count="2">
    <dataValidation type="list" allowBlank="1" showInputMessage="1" showErrorMessage="1" sqref="D4">
      <formula1>$D$38:$D$39</formula1>
    </dataValidation>
    <dataValidation type="decimal" errorStyle="warning" allowBlank="1" showInputMessage="1" showErrorMessage="1" error="Atribuir nota entre 0 e 10" sqref="E5:E11 E14:E17">
      <formula1>0</formula1>
      <formula2>10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1 - Pontuação Global</vt:lpstr>
      <vt:lpstr>2 - Projeto e Plano de Trabalho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ALBERTAZZI GONCALVES JUNIOR</dc:creator>
  <cp:lastModifiedBy>Maria Luiza Ferreira</cp:lastModifiedBy>
  <dcterms:created xsi:type="dcterms:W3CDTF">2016-11-10T11:23:36Z</dcterms:created>
  <dcterms:modified xsi:type="dcterms:W3CDTF">2019-03-22T18:54:24Z</dcterms:modified>
</cp:coreProperties>
</file>