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4640" windowHeight="9240"/>
  </bookViews>
  <sheets>
    <sheet name="1 - Pontuação Global" sheetId="8" r:id="rId1"/>
    <sheet name="2 - Projeto e Plano de Trabalho" sheetId="2" r:id="rId2"/>
  </sheets>
  <calcPr calcId="144525"/>
</workbook>
</file>

<file path=xl/calcChain.xml><?xml version="1.0" encoding="utf-8"?>
<calcChain xmlns="http://schemas.openxmlformats.org/spreadsheetml/2006/main">
  <c r="F5" i="8" l="1"/>
  <c r="H5" i="8"/>
  <c r="H14" i="8"/>
  <c r="H16" i="8"/>
  <c r="H15" i="8"/>
  <c r="C5" i="8" l="1"/>
  <c r="F29" i="8" l="1"/>
  <c r="C24" i="8" l="1"/>
  <c r="H26" i="8"/>
  <c r="H25" i="8"/>
  <c r="H24" i="8"/>
  <c r="H13" i="8" l="1"/>
  <c r="H6" i="8"/>
  <c r="H7" i="8"/>
  <c r="H8" i="8"/>
  <c r="H9" i="8"/>
  <c r="H10" i="8"/>
  <c r="H11" i="8"/>
  <c r="H12" i="8"/>
  <c r="H27" i="8" l="1"/>
  <c r="D5" i="8"/>
  <c r="H38" i="8" l="1"/>
  <c r="E21" i="2"/>
  <c r="E20" i="2"/>
  <c r="D22" i="2"/>
  <c r="F24" i="8"/>
  <c r="E24" i="8" s="1"/>
  <c r="H2" i="8"/>
  <c r="D29" i="8"/>
  <c r="D4" i="8"/>
  <c r="I13" i="8"/>
  <c r="I22" i="8"/>
  <c r="H22" i="8" s="1"/>
  <c r="I21" i="8"/>
  <c r="H21" i="8" s="1"/>
  <c r="I20" i="8"/>
  <c r="H20" i="8" s="1"/>
  <c r="I19" i="8"/>
  <c r="H19" i="8" s="1"/>
  <c r="I18" i="8"/>
  <c r="H18" i="8" s="1"/>
  <c r="I17" i="8"/>
  <c r="H17" i="8" s="1"/>
  <c r="I16" i="8"/>
  <c r="I15" i="8"/>
  <c r="E5" i="8" l="1"/>
  <c r="D38" i="8"/>
  <c r="E22" i="2"/>
  <c r="D34" i="8"/>
  <c r="D32" i="8"/>
  <c r="E35" i="8"/>
  <c r="E33" i="8"/>
  <c r="E29" i="8"/>
  <c r="K25" i="8"/>
  <c r="E4" i="8"/>
  <c r="G34" i="8" l="1"/>
  <c r="E34" i="8" s="1"/>
  <c r="D39" i="8"/>
  <c r="E38" i="8"/>
  <c r="G38" i="8" s="1"/>
  <c r="K4" i="8"/>
  <c r="K8" i="8"/>
  <c r="K33" i="8"/>
  <c r="K34" i="8" l="1"/>
  <c r="E39" i="8"/>
  <c r="F39" i="8" s="1"/>
  <c r="K37" i="8"/>
  <c r="D40" i="8"/>
  <c r="F38" i="8"/>
  <c r="G39" i="8" l="1"/>
  <c r="G40" i="8" s="1"/>
</calcChain>
</file>

<file path=xl/comments1.xml><?xml version="1.0" encoding="utf-8"?>
<comments xmlns="http://schemas.openxmlformats.org/spreadsheetml/2006/main">
  <authors>
    <author>ARMANDO ALBERTAZZI GONCALVES JUNIOR</author>
    <author>Armando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Incluir pontuação para Livros, Capítulos de Livros, Patentes, Organização de Livro.
Equivalência:
capítulo internacional: B3
patente intern: B3
patente nac: B4
capítulo nacional: B4
organização de livro (internac = B2), (nac=B4)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internacional)</t>
        </r>
      </text>
    </comment>
    <comment ref="H6" author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nacional)</t>
        </r>
      </text>
    </comment>
    <comment ref="H7" author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regional)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Ou produção artístico-cultural (funções do tipo 1 em produções artísticas apresentadas ao público com abrangência local)
</t>
        </r>
      </text>
    </comment>
    <comment ref="H9" author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internacional)</t>
        </r>
      </text>
    </comment>
    <comment ref="H10" author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nacional)</t>
        </r>
      </text>
    </comment>
    <comment ref="H11" author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regional)</t>
        </r>
      </text>
    </comment>
    <comment ref="H12" author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local)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29" authorId="1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Não escreva aqui. 
O preenchimento será automático.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Nota máxima saturada em 4,00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<sst xmlns="http://schemas.openxmlformats.org/spreadsheetml/2006/main" count="103" uniqueCount="84">
  <si>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</si>
  <si>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</si>
  <si>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</si>
  <si>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</si>
  <si>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</si>
  <si>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</si>
  <si>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</si>
  <si>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</si>
  <si>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</si>
  <si>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</si>
  <si>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</si>
  <si>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</si>
  <si>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</si>
  <si>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</si>
  <si>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</si>
  <si>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</si>
  <si>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</si>
  <si>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</si>
  <si>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</si>
  <si>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</si>
  <si>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</si>
  <si>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</si>
  <si>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</si>
  <si>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</si>
  <si>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</si>
  <si>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</si>
  <si>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</si>
  <si>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</si>
  <si>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Publ</t>
  </si>
  <si>
    <t>Orient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</si>
  <si>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</si>
  <si>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</si>
  <si>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</si>
  <si>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</si>
  <si>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</si>
  <si>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</si>
  <si>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</si>
  <si>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</si>
  <si>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</si>
  <si>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</si>
  <si>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</si>
  <si>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</si>
  <si>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</si>
  <si>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</si>
  <si>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</si>
  <si>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</si>
  <si>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</si>
  <si>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</si>
  <si>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</si>
  <si>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</si>
  <si>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</si>
  <si>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</si>
  <si>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</si>
  <si>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</si>
  <si>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</si>
  <si>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</si>
  <si>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</si>
  <si>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</si>
  <si>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As atividades do bolsista são importantes, ou contribuem, para que os objetivos do projeto sejam atingidos?.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</si>
  <si>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</si>
  <si>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</si>
  <si>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</si>
  <si>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</si>
  <si>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</si>
  <si>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</si>
  <si>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</si>
  <si>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</si>
  <si>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</si>
  <si>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</si>
  <si>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</si>
  <si>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</si>
  <si>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</si>
  <si>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</si>
  <si>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</si>
  <si>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</si>
  <si>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</si>
  <si>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</si>
  <si>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t>Relatório Final do ciclo 2015/2016</t>
  </si>
  <si>
    <t>Nota do relatório final do ciclo 2015/2016. (Se o relatório final não tiver sido entregue, o orientador não estará habilitado a apresentar proposta)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</si>
  <si>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</si>
  <si>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</si>
  <si>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</si>
  <si>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>Produção científica, tecnológica e/ou artística</t>
  </si>
  <si>
    <t xml:space="preserve">Avaliação de Solicitações de Bolsas PIBIC
- Pesquisador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</si>
</sst>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2" fontId="0" fillId="10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0" xfId="0" applyNumberForma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" fontId="3" fillId="10" borderId="8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8" fillId="9" borderId="3" xfId="1" applyNumberFormat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9" fontId="0" fillId="9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1" fontId="0" fillId="10" borderId="1" xfId="1" applyNumberFormat="1" applyFont="1" applyFill="1" applyBorder="1" applyAlignment="1" applyProtection="1">
      <alignment horizontal="center"/>
      <protection locked="0"/>
    </xf>
    <xf numFmtId="2" fontId="0" fillId="10" borderId="1" xfId="1" applyNumberFormat="1" applyFont="1" applyFill="1" applyBorder="1" applyAlignment="1" applyProtection="1">
      <alignment horizontal="center" vertical="center"/>
      <protection locked="0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164" fontId="0" fillId="9" borderId="3" xfId="1" applyNumberFormat="1" applyFont="1" applyFill="1" applyBorder="1" applyAlignment="1">
      <alignment horizontal="center" vertical="center"/>
    </xf>
    <xf numFmtId="164" fontId="0" fillId="9" borderId="4" xfId="1" applyNumberFormat="1" applyFont="1" applyFill="1" applyBorder="1" applyAlignment="1">
      <alignment horizontal="center" vertical="center"/>
    </xf>
    <xf numFmtId="164" fontId="0" fillId="9" borderId="5" xfId="1" applyNumberFormat="1" applyFont="1" applyFill="1" applyBorder="1" applyAlignment="1">
      <alignment horizontal="center" vertical="center"/>
    </xf>
    <xf numFmtId="165" fontId="0" fillId="9" borderId="3" xfId="1" applyNumberFormat="1" applyFont="1" applyFill="1" applyBorder="1" applyAlignment="1">
      <alignment horizontal="center" vertical="center"/>
    </xf>
    <xf numFmtId="165" fontId="0" fillId="9" borderId="4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0" fillId="9" borderId="3" xfId="1" applyNumberFormat="1" applyFont="1" applyFill="1" applyBorder="1" applyAlignment="1">
      <alignment horizontal="center" vertical="center"/>
    </xf>
    <xf numFmtId="0" fontId="0" fillId="9" borderId="4" xfId="1" applyNumberFormat="1" applyFont="1" applyFill="1" applyBorder="1" applyAlignment="1">
      <alignment horizontal="center" vertical="center"/>
    </xf>
    <xf numFmtId="0" fontId="0" fillId="9" borderId="5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5" fontId="0" fillId="9" borderId="5" xfId="1" applyNumberFormat="1" applyFont="1" applyFill="1" applyBorder="1" applyAlignment="1">
      <alignment horizontal="center" vertical="center"/>
    </xf>
    <xf numFmtId="2" fontId="0" fillId="9" borderId="4" xfId="1" applyNumberFormat="1" applyFont="1" applyFill="1" applyBorder="1" applyAlignment="1">
      <alignment horizontal="center" vertical="center"/>
    </xf>
    <xf numFmtId="2" fontId="0" fillId="9" borderId="5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CCECFF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346365</xdr:rowOff>
    </xdr:from>
    <xdr:to>
      <xdr:col>1</xdr:col>
      <xdr:colOff>1762169</xdr:colOff>
      <xdr:row>0</xdr:row>
      <xdr:rowOff>1392570</xdr:rowOff>
    </xdr:to>
    <xdr:grpSp>
      <xdr:nvGrpSpPr>
        <xdr:cNvPr id="4" name="Grupo 3"/>
        <xdr:cNvGrpSpPr/>
      </xdr:nvGrpSpPr>
      <xdr:grpSpPr>
        <a:xfrm>
          <a:off x="303068" y="346365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showGridLines="0" tabSelected="1" topLeftCell="A10" zoomScale="110" zoomScaleNormal="110" workbookViewId="0">
      <selection activeCell="G33" sqref="G33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2.5703125" bestFit="1" customWidth="1"/>
    <col min="6" max="6" width="9.7109375" hidden="1" customWidth="1"/>
    <col min="7" max="7" width="13.7109375" bestFit="1" customWidth="1"/>
    <col min="8" max="8" width="86.7109375" customWidth="1"/>
    <col min="9" max="11" width="9.140625" hidden="1" customWidth="1"/>
    <col min="12" max="12" width="10.85546875" bestFit="1" customWidth="1"/>
  </cols>
  <sheetData>
    <row r="1" spans="1:14" ht="123" customHeight="1" x14ac:dyDescent="0.25">
      <c r="C1" s="88" t="s">
        <v>83</v>
      </c>
      <c r="D1" s="89"/>
      <c r="E1" s="89"/>
      <c r="F1" s="90"/>
      <c r="G1" s="89"/>
      <c r="H1" s="89"/>
    </row>
    <row r="2" spans="1:14" ht="15" customHeight="1" x14ac:dyDescent="0.25">
      <c r="A2" s="95" t="s">
        <v>8</v>
      </c>
      <c r="B2" s="96"/>
      <c r="C2" s="96"/>
      <c r="D2" s="97" t="s">
        <v>35</v>
      </c>
      <c r="E2" s="97"/>
      <c r="F2" s="40"/>
      <c r="G2" s="43">
        <v>2017</v>
      </c>
      <c r="H2" s="47" t="str">
        <f>"Janela de Avaliação: "&amp;TEXT(G2-3,"0")&amp;" a "&amp;TEXT(G2,"0")</f>
        <v>Janela de Avaliação: 2014 a 2017</v>
      </c>
    </row>
    <row r="3" spans="1:14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44"/>
      <c r="G3" s="9" t="s">
        <v>37</v>
      </c>
      <c r="H3" s="8" t="s">
        <v>7</v>
      </c>
    </row>
    <row r="4" spans="1:14" x14ac:dyDescent="0.25">
      <c r="A4" s="52">
        <v>1</v>
      </c>
      <c r="B4" s="53" t="s">
        <v>5</v>
      </c>
      <c r="C4" s="54" t="s">
        <v>6</v>
      </c>
      <c r="D4" s="45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7"/>
      <c r="G4" s="60" t="s">
        <v>23</v>
      </c>
      <c r="H4" s="1" t="s">
        <v>75</v>
      </c>
      <c r="I4" s="16" t="s">
        <v>4</v>
      </c>
      <c r="J4" s="33" t="s">
        <v>27</v>
      </c>
      <c r="K4" s="35">
        <f>E4*D4</f>
        <v>0</v>
      </c>
    </row>
    <row r="5" spans="1:14" x14ac:dyDescent="0.25">
      <c r="A5" s="83">
        <v>2</v>
      </c>
      <c r="B5" s="85" t="s">
        <v>82</v>
      </c>
      <c r="C5" s="85" t="str">
        <f>"Artigos qualificados efetivamente publicados em periódicos entre "&amp;TEXT(G2-3,"0")&amp;" e "&amp;TEXT(G2,"0")&amp;". Caso seja detectada fraude nas informações prestadas pelo solicitante, ele ficará inelegível para participar de Editais do PIBIC pelo prazo de três (03) anos."</f>
        <v>Artigos qualificados efetivamente publicados em periódicos entre 2014 e 2017. Caso seja detectada fraude nas informações prestadas pelo solicitante, ele ficará inelegível para participar de Editais do PIBIC pelo prazo de três (03) anos.</v>
      </c>
      <c r="D5" s="66">
        <f>IF(E32="Aplica-se",30%,36%)*0+0.35</f>
        <v>0.35</v>
      </c>
      <c r="E5" s="69">
        <f>IF(F5&gt;10,10,F5)</f>
        <v>0</v>
      </c>
      <c r="F5" s="93">
        <f>2*(G5*I5+G6*I6+G7*I7+G8*I8+G9*I9+G10*I10+G11*I11+G13*I13+G14*I14+G15*I15+G16*I16+G17*I17+G18*I18+G19*I19+G20*I20+G21*I21+G22*I22)</f>
        <v>0</v>
      </c>
      <c r="G5" s="58"/>
      <c r="H5" s="1" t="str">
        <f>TEXT(I5,"0,00")&amp;" por artigo em periódico com qualis A1"</f>
        <v>1,00 por artigo em periódico com qualis A1</v>
      </c>
      <c r="I5" s="39">
        <v>1</v>
      </c>
      <c r="J5" s="33"/>
      <c r="K5" s="35"/>
    </row>
    <row r="6" spans="1:14" x14ac:dyDescent="0.25">
      <c r="A6" s="84"/>
      <c r="B6" s="86"/>
      <c r="C6" s="86"/>
      <c r="D6" s="67"/>
      <c r="E6" s="70"/>
      <c r="F6" s="93"/>
      <c r="G6" s="58"/>
      <c r="H6" s="1" t="str">
        <f>TEXT(I6,"0,00")&amp;" por artigo em periódico com qualis A2"</f>
        <v>0,80 por artigo em periódico com qualis A2</v>
      </c>
      <c r="I6" s="39">
        <v>0.8</v>
      </c>
      <c r="J6" s="33"/>
      <c r="K6" s="35"/>
    </row>
    <row r="7" spans="1:14" x14ac:dyDescent="0.25">
      <c r="A7" s="84"/>
      <c r="B7" s="86"/>
      <c r="C7" s="86"/>
      <c r="D7" s="67"/>
      <c r="E7" s="70"/>
      <c r="F7" s="93"/>
      <c r="G7" s="58"/>
      <c r="H7" s="1" t="str">
        <f>TEXT(I7,"0,00")&amp;" por artigo em periódico com qualis B1"</f>
        <v>0,70 por artigo em periódico com qualis B1</v>
      </c>
      <c r="I7" s="39">
        <v>0.7</v>
      </c>
      <c r="J7" s="33"/>
      <c r="K7" s="35"/>
    </row>
    <row r="8" spans="1:14" x14ac:dyDescent="0.25">
      <c r="A8" s="84"/>
      <c r="B8" s="86"/>
      <c r="C8" s="86"/>
      <c r="D8" s="67"/>
      <c r="E8" s="70"/>
      <c r="F8" s="93"/>
      <c r="G8" s="58"/>
      <c r="H8" s="1" t="str">
        <f>TEXT(I8,"0,00")&amp;" por artigo em periódico com qualis B2"</f>
        <v>0,60 por artigo em periódico com qualis B2</v>
      </c>
      <c r="I8" s="39">
        <v>0.6</v>
      </c>
      <c r="J8" s="33" t="s">
        <v>28</v>
      </c>
      <c r="K8" s="35">
        <f>D5*E5</f>
        <v>0</v>
      </c>
      <c r="N8" s="65"/>
    </row>
    <row r="9" spans="1:14" x14ac:dyDescent="0.25">
      <c r="A9" s="84"/>
      <c r="B9" s="86"/>
      <c r="C9" s="86"/>
      <c r="D9" s="67"/>
      <c r="E9" s="70"/>
      <c r="F9" s="93"/>
      <c r="G9" s="58"/>
      <c r="H9" s="1" t="str">
        <f>TEXT(I9,"0,00")&amp;" por artigo em periódico com qualis B3"</f>
        <v>0,40 por artigo em periódico com qualis B3</v>
      </c>
      <c r="I9" s="39">
        <v>0.4</v>
      </c>
      <c r="J9" s="33"/>
      <c r="K9" s="35"/>
    </row>
    <row r="10" spans="1:14" x14ac:dyDescent="0.25">
      <c r="A10" s="84"/>
      <c r="B10" s="86"/>
      <c r="C10" s="86"/>
      <c r="D10" s="67"/>
      <c r="E10" s="70"/>
      <c r="F10" s="93"/>
      <c r="G10" s="58"/>
      <c r="H10" s="1" t="str">
        <f>TEXT(I10,"0,00")&amp;" por artigo em periódico com qualis B4"</f>
        <v>0,20 por artigo em periódico com qualis B4</v>
      </c>
      <c r="I10" s="39">
        <v>0.2</v>
      </c>
      <c r="J10" s="33"/>
      <c r="K10" s="35"/>
    </row>
    <row r="11" spans="1:14" x14ac:dyDescent="0.25">
      <c r="A11" s="84"/>
      <c r="B11" s="86"/>
      <c r="C11" s="86"/>
      <c r="D11" s="67"/>
      <c r="E11" s="70"/>
      <c r="F11" s="93"/>
      <c r="G11" s="58"/>
      <c r="H11" s="1" t="str">
        <f>TEXT(I11,"0,00")&amp;" por artigo em periódico com qualis B5"</f>
        <v>0,10 por artigo em periódico com qualis B5</v>
      </c>
      <c r="I11" s="39">
        <v>0.1</v>
      </c>
      <c r="J11" s="33"/>
      <c r="K11" s="35"/>
    </row>
    <row r="12" spans="1:14" x14ac:dyDescent="0.25">
      <c r="A12" s="84"/>
      <c r="B12" s="86"/>
      <c r="C12" s="86"/>
      <c r="D12" s="67"/>
      <c r="E12" s="70"/>
      <c r="F12" s="93"/>
      <c r="G12" s="58"/>
      <c r="H12" s="1" t="str">
        <f>TEXT(I12,"0,00")&amp;" por artigo em periódico com qualis C"</f>
        <v>0,05 por artigo em periódico com qualis C</v>
      </c>
      <c r="I12" s="39">
        <v>0.05</v>
      </c>
      <c r="J12" s="33"/>
      <c r="K12" s="35"/>
    </row>
    <row r="13" spans="1:14" x14ac:dyDescent="0.25">
      <c r="A13" s="84"/>
      <c r="B13" s="86"/>
      <c r="C13" s="86"/>
      <c r="D13" s="67"/>
      <c r="E13" s="70"/>
      <c r="F13" s="93"/>
      <c r="G13" s="58"/>
      <c r="H13" s="1" t="str">
        <f>TEXT(I13,"0,00")&amp;" por trabalho completo em anais de congresso no exterior"</f>
        <v>0,10 por trabalho completo em anais de congresso no exterior</v>
      </c>
      <c r="I13" s="39">
        <f>I11</f>
        <v>0.1</v>
      </c>
      <c r="J13" s="33"/>
      <c r="K13" s="35"/>
    </row>
    <row r="14" spans="1:14" x14ac:dyDescent="0.25">
      <c r="A14" s="84"/>
      <c r="B14" s="86"/>
      <c r="C14" s="86"/>
      <c r="D14" s="67"/>
      <c r="E14" s="70"/>
      <c r="F14" s="93"/>
      <c r="G14" s="58"/>
      <c r="H14" s="1" t="str">
        <f>TEXT(I14,"0,00")&amp;" por trabalhos completos em anais de congresso no país ou artigo traduzido"</f>
        <v>0,05 por trabalhos completos em anais de congresso no país ou artigo traduzido</v>
      </c>
      <c r="I14" s="39">
        <v>0.05</v>
      </c>
      <c r="J14" s="33"/>
      <c r="K14" s="35"/>
    </row>
    <row r="15" spans="1:14" x14ac:dyDescent="0.25">
      <c r="A15" s="84"/>
      <c r="B15" s="86"/>
      <c r="C15" s="86"/>
      <c r="D15" s="67"/>
      <c r="E15" s="70"/>
      <c r="F15" s="93"/>
      <c r="G15" s="58"/>
      <c r="H15" s="1" t="str">
        <f>TEXT(I15,"0,00")&amp;" por livro internacional organizado ou autoria de livro (nacional ou internacional) com ISBN"</f>
        <v>1,00 por livro internacional organizado ou autoria de livro (nacional ou internacional) com ISBN</v>
      </c>
      <c r="I15" s="39">
        <f>I5</f>
        <v>1</v>
      </c>
      <c r="J15" s="33"/>
      <c r="K15" s="35"/>
    </row>
    <row r="16" spans="1:14" x14ac:dyDescent="0.25">
      <c r="A16" s="84"/>
      <c r="B16" s="86"/>
      <c r="C16" s="86"/>
      <c r="D16" s="67"/>
      <c r="E16" s="70"/>
      <c r="F16" s="93"/>
      <c r="G16" s="58"/>
      <c r="H16" s="1" t="str">
        <f>TEXT(I16,"0,00")&amp;" por livro nacional organizado ou livro traduzido com ISBN"</f>
        <v>0,70 por livro nacional organizado ou livro traduzido com ISBN</v>
      </c>
      <c r="I16" s="39">
        <f>I7</f>
        <v>0.7</v>
      </c>
      <c r="J16" s="33"/>
      <c r="K16" s="35"/>
    </row>
    <row r="17" spans="1:12" x14ac:dyDescent="0.25">
      <c r="A17" s="84"/>
      <c r="B17" s="86"/>
      <c r="C17" s="86"/>
      <c r="D17" s="67"/>
      <c r="E17" s="70"/>
      <c r="F17" s="93"/>
      <c r="G17" s="58"/>
      <c r="H17" s="1" t="str">
        <f>TEXT(I17,"0,00")&amp;" por capítulo de livro (internacional)"</f>
        <v>0,60 por capítulo de livro (internacional)</v>
      </c>
      <c r="I17" s="39">
        <f>I8</f>
        <v>0.6</v>
      </c>
      <c r="J17" s="33"/>
      <c r="K17" s="35"/>
    </row>
    <row r="18" spans="1:12" x14ac:dyDescent="0.25">
      <c r="A18" s="84"/>
      <c r="B18" s="86"/>
      <c r="C18" s="86"/>
      <c r="D18" s="67"/>
      <c r="E18" s="70"/>
      <c r="F18" s="93"/>
      <c r="G18" s="58"/>
      <c r="H18" s="1" t="str">
        <f>TEXT(I18,"0,00")&amp;" por capítulo de livro (nacional)"</f>
        <v>0,40 por capítulo de livro (nacional)</v>
      </c>
      <c r="I18" s="39">
        <f>I9</f>
        <v>0.4</v>
      </c>
      <c r="J18" s="33"/>
      <c r="K18" s="35"/>
    </row>
    <row r="19" spans="1:12" x14ac:dyDescent="0.25">
      <c r="A19" s="84"/>
      <c r="B19" s="86"/>
      <c r="C19" s="86"/>
      <c r="D19" s="67"/>
      <c r="E19" s="70"/>
      <c r="F19" s="93"/>
      <c r="G19" s="58"/>
      <c r="H19" s="1" t="str">
        <f>TEXT(I19,"0,00")&amp;" por prêmio ou trabalho premiado no exterior"</f>
        <v>1,00 por prêmio ou trabalho premiado no exterior</v>
      </c>
      <c r="I19" s="39">
        <f>I5</f>
        <v>1</v>
      </c>
      <c r="J19" s="33"/>
      <c r="K19" s="35"/>
    </row>
    <row r="20" spans="1:12" x14ac:dyDescent="0.25">
      <c r="A20" s="84"/>
      <c r="B20" s="86"/>
      <c r="C20" s="86"/>
      <c r="D20" s="67"/>
      <c r="E20" s="70"/>
      <c r="F20" s="93"/>
      <c r="G20" s="58"/>
      <c r="H20" s="1" t="str">
        <f>TEXT(I20,"0,00")&amp;" por prêmio ou trabalho premiado no país"</f>
        <v>0,70 por prêmio ou trabalho premiado no país</v>
      </c>
      <c r="I20" s="39">
        <f>I7</f>
        <v>0.7</v>
      </c>
      <c r="J20" s="33"/>
      <c r="K20" s="35"/>
    </row>
    <row r="21" spans="1:12" x14ac:dyDescent="0.25">
      <c r="A21" s="84"/>
      <c r="B21" s="86"/>
      <c r="C21" s="86"/>
      <c r="D21" s="67"/>
      <c r="E21" s="70"/>
      <c r="F21" s="93"/>
      <c r="G21" s="58"/>
      <c r="H21" s="1" t="str">
        <f>TEXT(I21,"0,00")&amp;" por patente internacional concedida"</f>
        <v>1,00 por patente internacional concedida</v>
      </c>
      <c r="I21" s="39">
        <f>I5</f>
        <v>1</v>
      </c>
      <c r="J21" s="33"/>
      <c r="K21" s="35"/>
    </row>
    <row r="22" spans="1:12" x14ac:dyDescent="0.25">
      <c r="A22" s="84"/>
      <c r="B22" s="86"/>
      <c r="C22" s="86"/>
      <c r="D22" s="67"/>
      <c r="E22" s="70"/>
      <c r="F22" s="93"/>
      <c r="G22" s="58"/>
      <c r="H22" s="1" t="str">
        <f>TEXT(I22,"0,00")&amp;" por patente nacional concedida"</f>
        <v>0,70 por patente nacional concedida</v>
      </c>
      <c r="I22" s="39">
        <f>I7</f>
        <v>0.7</v>
      </c>
      <c r="J22" s="33"/>
      <c r="K22" s="35"/>
    </row>
    <row r="23" spans="1:12" ht="15" hidden="1" customHeight="1" x14ac:dyDescent="0.25">
      <c r="A23" s="91"/>
      <c r="B23" s="87"/>
      <c r="C23" s="87"/>
      <c r="D23" s="68"/>
      <c r="E23" s="92"/>
      <c r="F23" s="94"/>
      <c r="G23" s="58"/>
      <c r="H23" s="1"/>
      <c r="I23" s="39">
        <v>0</v>
      </c>
      <c r="J23" s="33"/>
      <c r="K23" s="35"/>
    </row>
    <row r="24" spans="1:12" x14ac:dyDescent="0.25">
      <c r="A24" s="83">
        <v>3</v>
      </c>
      <c r="B24" s="85" t="s">
        <v>79</v>
      </c>
      <c r="C24" s="85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2014 e 2017. Conte 1,0 para cada orientação concluída, 0,5 para cada coorientação concluída no período. Para orientações em andamento até a presente data conte 0,5 por orientação e 0,25 por coorientação.</v>
      </c>
      <c r="D24" s="66">
        <v>0.15</v>
      </c>
      <c r="E24" s="69">
        <f>IF(F24&gt;10,10,F24)</f>
        <v>0</v>
      </c>
      <c r="F24" s="74">
        <f>G24*I24+G25*I25+G26*I26+G27*I27+G28*I28</f>
        <v>0</v>
      </c>
      <c r="G24" s="64"/>
      <c r="H24" s="1" t="str">
        <f>TEXT(I24,"0,0")&amp;" por orientações de doutorado"</f>
        <v>6,0 por orientações de doutorado</v>
      </c>
      <c r="I24" s="39">
        <v>6</v>
      </c>
      <c r="J24" s="33"/>
      <c r="K24" s="35"/>
    </row>
    <row r="25" spans="1:12" x14ac:dyDescent="0.25">
      <c r="A25" s="84"/>
      <c r="B25" s="86"/>
      <c r="C25" s="86"/>
      <c r="D25" s="67"/>
      <c r="E25" s="70"/>
      <c r="F25" s="75"/>
      <c r="G25" s="64"/>
      <c r="H25" s="1" t="str">
        <f>TEXT(I25,"0,0")&amp;" por orientações de mestrado"</f>
        <v>3,0 por orientações de mestrado</v>
      </c>
      <c r="I25" s="39">
        <v>3</v>
      </c>
      <c r="J25" s="33" t="s">
        <v>29</v>
      </c>
      <c r="K25" s="35">
        <f>D24*E24</f>
        <v>0</v>
      </c>
    </row>
    <row r="26" spans="1:12" x14ac:dyDescent="0.25">
      <c r="A26" s="84"/>
      <c r="B26" s="86"/>
      <c r="C26" s="86"/>
      <c r="D26" s="67"/>
      <c r="E26" s="70"/>
      <c r="F26" s="75"/>
      <c r="G26" s="64"/>
      <c r="H26" s="1" t="str">
        <f>TEXT(I26,"0,0")&amp;" por supervisão de pós-doutorado"</f>
        <v>3,0 por supervisão de pós-doutorado</v>
      </c>
      <c r="I26" s="39">
        <v>3</v>
      </c>
      <c r="J26" s="33"/>
      <c r="K26" s="35"/>
    </row>
    <row r="27" spans="1:12" x14ac:dyDescent="0.25">
      <c r="A27" s="84"/>
      <c r="B27" s="86"/>
      <c r="C27" s="86"/>
      <c r="D27" s="67"/>
      <c r="E27" s="70"/>
      <c r="F27" s="75"/>
      <c r="G27" s="64"/>
      <c r="H27" s="1" t="str">
        <f>TEXT(I27,"0,0")&amp;" por orientações de IC, TCC ou especialização"</f>
        <v>1,5 por orientações de IC, TCC ou especialização</v>
      </c>
      <c r="I27" s="39">
        <v>1.5</v>
      </c>
      <c r="J27" s="33"/>
      <c r="K27" s="35"/>
    </row>
    <row r="28" spans="1:12" hidden="1" x14ac:dyDescent="0.25">
      <c r="A28" s="84"/>
      <c r="B28" s="87"/>
      <c r="C28" s="86"/>
      <c r="D28" s="68"/>
      <c r="E28" s="70"/>
      <c r="F28" s="76"/>
      <c r="G28" s="58"/>
      <c r="H28" s="1"/>
      <c r="I28" s="39">
        <v>2</v>
      </c>
      <c r="J28" s="33"/>
      <c r="K28" s="35"/>
      <c r="L28" s="22"/>
    </row>
    <row r="29" spans="1:12" ht="30" x14ac:dyDescent="0.25">
      <c r="A29" s="13">
        <v>4</v>
      </c>
      <c r="B29" s="11" t="s">
        <v>9</v>
      </c>
      <c r="C29" s="10" t="s">
        <v>80</v>
      </c>
      <c r="D29" s="46">
        <f>IF(G4="Não é bolsista",10%,0%)</f>
        <v>0.1</v>
      </c>
      <c r="E29" s="26">
        <f>IF(F29&gt;5,0,IF(F29&lt;0,-5,(6-F29)/0.6))</f>
        <v>0</v>
      </c>
      <c r="F29" s="26">
        <f>G2-G29</f>
        <v>2017</v>
      </c>
      <c r="G29" s="63"/>
      <c r="H29" s="24" t="s">
        <v>81</v>
      </c>
      <c r="J29" s="33" t="s">
        <v>30</v>
      </c>
      <c r="K29" s="35"/>
      <c r="L29" s="22"/>
    </row>
    <row r="30" spans="1:12" x14ac:dyDescent="0.25">
      <c r="A30" s="71" t="s">
        <v>10</v>
      </c>
      <c r="B30" s="72"/>
      <c r="C30" s="72"/>
      <c r="D30" s="72"/>
      <c r="E30" s="72"/>
      <c r="F30" s="72"/>
      <c r="G30" s="72"/>
      <c r="H30" s="73"/>
      <c r="J30" s="33"/>
      <c r="K30" s="36"/>
    </row>
    <row r="31" spans="1:12" x14ac:dyDescent="0.25">
      <c r="A31" s="6" t="s">
        <v>0</v>
      </c>
      <c r="B31" s="6" t="s">
        <v>1</v>
      </c>
      <c r="C31" s="6" t="s">
        <v>2</v>
      </c>
      <c r="D31" s="7" t="s">
        <v>3</v>
      </c>
      <c r="E31" s="7" t="s">
        <v>4</v>
      </c>
      <c r="F31" s="7"/>
      <c r="G31" s="7" t="s">
        <v>26</v>
      </c>
      <c r="H31" s="6" t="s">
        <v>7</v>
      </c>
      <c r="J31" s="33"/>
      <c r="K31" s="35"/>
    </row>
    <row r="32" spans="1:12" ht="45" x14ac:dyDescent="0.25">
      <c r="A32" s="6">
        <v>6</v>
      </c>
      <c r="B32" s="56" t="s">
        <v>77</v>
      </c>
      <c r="C32" s="38" t="s">
        <v>78</v>
      </c>
      <c r="D32" s="42">
        <f>IF(E32="Aplica-se",10%,0)</f>
        <v>0</v>
      </c>
      <c r="E32" s="61" t="s">
        <v>24</v>
      </c>
      <c r="F32" s="12"/>
      <c r="G32" s="59"/>
      <c r="H32" s="6"/>
      <c r="J32" s="33"/>
      <c r="K32" s="35"/>
    </row>
    <row r="33" spans="1:11" ht="45" x14ac:dyDescent="0.25">
      <c r="A33" s="7">
        <v>7</v>
      </c>
      <c r="B33" s="15" t="s">
        <v>11</v>
      </c>
      <c r="C33" s="37" t="s">
        <v>76</v>
      </c>
      <c r="D33" s="25">
        <v>0.1</v>
      </c>
      <c r="E33" s="41">
        <f>IF(G33="SIM",10,0)</f>
        <v>0</v>
      </c>
      <c r="F33" s="41"/>
      <c r="G33" s="62" t="s">
        <v>13</v>
      </c>
      <c r="H33" s="28"/>
      <c r="J33" s="33" t="s">
        <v>32</v>
      </c>
      <c r="K33" s="35">
        <f t="shared" ref="K33:K34" si="0">E33*D33</f>
        <v>0</v>
      </c>
    </row>
    <row r="34" spans="1:11" ht="45" x14ac:dyDescent="0.25">
      <c r="A34" s="12">
        <v>8</v>
      </c>
      <c r="B34" s="15" t="s">
        <v>34</v>
      </c>
      <c r="C34" s="10" t="s">
        <v>33</v>
      </c>
      <c r="D34" s="25">
        <f>IF(E32="Aplica-se",20%,30%)</f>
        <v>0.3</v>
      </c>
      <c r="E34" s="27">
        <f>G34</f>
        <v>0</v>
      </c>
      <c r="F34" s="27"/>
      <c r="G34" s="26">
        <f>'2 - Projeto e Plano de Trabalho'!E22</f>
        <v>0</v>
      </c>
      <c r="H34" s="57" t="s">
        <v>73</v>
      </c>
      <c r="J34" s="33" t="s">
        <v>31</v>
      </c>
      <c r="K34" s="35">
        <f t="shared" si="0"/>
        <v>0</v>
      </c>
    </row>
    <row r="35" spans="1:11" ht="45" hidden="1" customHeight="1" x14ac:dyDescent="0.25">
      <c r="A35" s="12"/>
      <c r="B35" s="15" t="s">
        <v>16</v>
      </c>
      <c r="C35" s="10" t="s">
        <v>17</v>
      </c>
      <c r="D35" s="25">
        <v>0.1</v>
      </c>
      <c r="E35" s="27" t="e">
        <f>IF(#REF!="Aplica-se",10%,0)</f>
        <v>#REF!</v>
      </c>
      <c r="F35" s="27"/>
      <c r="G35" s="34">
        <v>7</v>
      </c>
      <c r="H35" s="15"/>
      <c r="I35" s="33"/>
      <c r="J35" s="33"/>
      <c r="K35" s="35"/>
    </row>
    <row r="36" spans="1:11" hidden="1" x14ac:dyDescent="0.25">
      <c r="A36" s="2"/>
      <c r="B36" s="1"/>
      <c r="C36" s="1"/>
      <c r="D36" s="4"/>
      <c r="E36" s="17"/>
      <c r="F36" s="17"/>
      <c r="G36" s="23"/>
      <c r="H36" s="1"/>
      <c r="K36" s="35"/>
    </row>
    <row r="37" spans="1:11" x14ac:dyDescent="0.25">
      <c r="A37" s="80" t="s">
        <v>68</v>
      </c>
      <c r="B37" s="81"/>
      <c r="C37" s="81"/>
      <c r="D37" s="81"/>
      <c r="E37" s="81"/>
      <c r="F37" s="81"/>
      <c r="G37" s="81"/>
      <c r="H37" s="82"/>
      <c r="K37" s="36">
        <f>SUM(K33:K34)</f>
        <v>0</v>
      </c>
    </row>
    <row r="38" spans="1:11" x14ac:dyDescent="0.25">
      <c r="A38" s="3"/>
      <c r="B38" s="1" t="s">
        <v>14</v>
      </c>
      <c r="C38" s="1"/>
      <c r="D38" s="29">
        <f>D29+D24+D5+D4</f>
        <v>0.6</v>
      </c>
      <c r="E38" s="30">
        <f>D4*E4+D5*E5+D24*E24+D29*E29</f>
        <v>0</v>
      </c>
      <c r="F38" s="30">
        <f>E38/0.6</f>
        <v>0</v>
      </c>
      <c r="G38" s="30">
        <f>IF(E38&gt;6,6,E38)</f>
        <v>0</v>
      </c>
      <c r="H38" s="77" t="str">
        <f>IF('2 - Projeto e Plano de Trabalho'!D4="Não","DESCLASSIFICADO: Excede 15 páginas","")</f>
        <v/>
      </c>
    </row>
    <row r="39" spans="1:11" x14ac:dyDescent="0.25">
      <c r="A39" s="14"/>
      <c r="B39" s="1" t="s">
        <v>36</v>
      </c>
      <c r="C39" s="1"/>
      <c r="D39" s="29">
        <f>D32+D33+D34</f>
        <v>0.4</v>
      </c>
      <c r="E39" s="30">
        <f>D33*E33+D34*E34+D32*G32</f>
        <v>0</v>
      </c>
      <c r="F39" s="30">
        <f>E39/0.4</f>
        <v>0</v>
      </c>
      <c r="G39" s="30">
        <f>IF(E39&gt;4,4,E39)</f>
        <v>0</v>
      </c>
      <c r="H39" s="78"/>
    </row>
    <row r="40" spans="1:11" ht="18.75" x14ac:dyDescent="0.3">
      <c r="A40" s="18"/>
      <c r="B40" s="32" t="s">
        <v>15</v>
      </c>
      <c r="C40" s="19"/>
      <c r="D40" s="20">
        <f>D38+D39</f>
        <v>1</v>
      </c>
      <c r="E40" s="21"/>
      <c r="F40" s="21"/>
      <c r="G40" s="31">
        <f>G38+G39</f>
        <v>0</v>
      </c>
      <c r="H40" s="79"/>
    </row>
    <row r="41" spans="1:11" hidden="1" x14ac:dyDescent="0.25">
      <c r="A41" s="2"/>
      <c r="B41" s="1"/>
      <c r="C41" s="1"/>
      <c r="D41" s="4"/>
      <c r="E41" s="17"/>
      <c r="F41" s="17"/>
      <c r="G41" s="5"/>
      <c r="H41" s="1"/>
    </row>
    <row r="42" spans="1:11" hidden="1" x14ac:dyDescent="0.25">
      <c r="A42" s="2"/>
      <c r="B42" s="1"/>
      <c r="C42" s="1"/>
      <c r="D42" s="4"/>
      <c r="E42" s="17"/>
      <c r="F42" s="17"/>
      <c r="G42" s="5"/>
      <c r="H42" s="1"/>
    </row>
    <row r="53" spans="5:7" hidden="1" x14ac:dyDescent="0.25">
      <c r="E53" t="s">
        <v>25</v>
      </c>
      <c r="G53" s="16" t="s">
        <v>12</v>
      </c>
    </row>
    <row r="54" spans="5:7" hidden="1" x14ac:dyDescent="0.25">
      <c r="E54" t="s">
        <v>24</v>
      </c>
      <c r="G54" s="16" t="s">
        <v>13</v>
      </c>
    </row>
    <row r="55" spans="5:7" hidden="1" x14ac:dyDescent="0.25">
      <c r="G55" t="s">
        <v>18</v>
      </c>
    </row>
    <row r="56" spans="5:7" hidden="1" x14ac:dyDescent="0.25">
      <c r="G56" t="s">
        <v>19</v>
      </c>
    </row>
    <row r="57" spans="5:7" hidden="1" x14ac:dyDescent="0.25">
      <c r="G57" t="s">
        <v>20</v>
      </c>
    </row>
    <row r="58" spans="5:7" hidden="1" x14ac:dyDescent="0.25">
      <c r="G58" t="s">
        <v>21</v>
      </c>
    </row>
    <row r="59" spans="5:7" hidden="1" x14ac:dyDescent="0.25">
      <c r="G59" t="s">
        <v>22</v>
      </c>
    </row>
    <row r="60" spans="5:7" hidden="1" x14ac:dyDescent="0.25">
      <c r="G60" t="s">
        <v>23</v>
      </c>
    </row>
  </sheetData>
  <sheetProtection password="8D66" sheet="1" objects="1" scenarios="1" formatCells="0"/>
  <mergeCells count="18">
    <mergeCell ref="C1:H1"/>
    <mergeCell ref="A5:A23"/>
    <mergeCell ref="B5:B23"/>
    <mergeCell ref="C5:C23"/>
    <mergeCell ref="D5:D23"/>
    <mergeCell ref="E5:E23"/>
    <mergeCell ref="F5:F23"/>
    <mergeCell ref="A2:C2"/>
    <mergeCell ref="D2:E2"/>
    <mergeCell ref="D24:D28"/>
    <mergeCell ref="E24:E28"/>
    <mergeCell ref="A30:H30"/>
    <mergeCell ref="F24:F28"/>
    <mergeCell ref="H38:H40"/>
    <mergeCell ref="A37:H37"/>
    <mergeCell ref="A24:A28"/>
    <mergeCell ref="B24:B28"/>
    <mergeCell ref="C24:C28"/>
  </mergeCells>
  <conditionalFormatting sqref="G33">
    <cfRule type="cellIs" dxfId="32" priority="38" operator="equal">
      <formula>"NÃO"</formula>
    </cfRule>
    <cfRule type="cellIs" dxfId="31" priority="39" operator="equal">
      <formula>"SIM"</formula>
    </cfRule>
  </conditionalFormatting>
  <conditionalFormatting sqref="G4">
    <cfRule type="cellIs" dxfId="30" priority="11" operator="equal">
      <formula>10</formula>
    </cfRule>
    <cfRule type="cellIs" dxfId="29" priority="31" operator="equal">
      <formula>"PQ2 ou DT2"</formula>
    </cfRule>
    <cfRule type="cellIs" dxfId="28" priority="32" operator="equal">
      <formula>"Não é bolsista"</formula>
    </cfRule>
  </conditionalFormatting>
  <conditionalFormatting sqref="G5:G23">
    <cfRule type="cellIs" dxfId="27" priority="30" operator="greaterThan">
      <formula>0</formula>
    </cfRule>
  </conditionalFormatting>
  <conditionalFormatting sqref="G24:G28">
    <cfRule type="cellIs" dxfId="26" priority="29" operator="greaterThan">
      <formula>0</formula>
    </cfRule>
  </conditionalFormatting>
  <conditionalFormatting sqref="G35">
    <cfRule type="cellIs" dxfId="25" priority="28" operator="greaterThan">
      <formula>0</formula>
    </cfRule>
  </conditionalFormatting>
  <conditionalFormatting sqref="G36">
    <cfRule type="cellIs" dxfId="24" priority="27" operator="greaterThan">
      <formula>0</formula>
    </cfRule>
  </conditionalFormatting>
  <conditionalFormatting sqref="G40">
    <cfRule type="cellIs" dxfId="23" priority="24" operator="lessThan">
      <formula>6</formula>
    </cfRule>
    <cfRule type="cellIs" dxfId="22" priority="25" operator="greaterThanOrEqual">
      <formula>6</formula>
    </cfRule>
  </conditionalFormatting>
  <conditionalFormatting sqref="G29">
    <cfRule type="cellIs" dxfId="21" priority="23" operator="greaterThan">
      <formula>0</formula>
    </cfRule>
  </conditionalFormatting>
  <conditionalFormatting sqref="E32">
    <cfRule type="cellIs" dxfId="20" priority="21" operator="equal">
      <formula>"Não se aplica"</formula>
    </cfRule>
    <cfRule type="cellIs" dxfId="19" priority="22" operator="equal">
      <formula>"Aplica-se"</formula>
    </cfRule>
  </conditionalFormatting>
  <conditionalFormatting sqref="E5:E23">
    <cfRule type="cellIs" dxfId="18" priority="19" operator="equal">
      <formula>10</formula>
    </cfRule>
  </conditionalFormatting>
  <conditionalFormatting sqref="E24:E28">
    <cfRule type="cellIs" dxfId="17" priority="18" operator="equal">
      <formula>10</formula>
    </cfRule>
  </conditionalFormatting>
  <conditionalFormatting sqref="E29">
    <cfRule type="cellIs" dxfId="16" priority="17" operator="equal">
      <formula>10</formula>
    </cfRule>
  </conditionalFormatting>
  <conditionalFormatting sqref="G32">
    <cfRule type="cellIs" dxfId="15" priority="15" operator="greaterThan">
      <formula>0</formula>
    </cfRule>
  </conditionalFormatting>
  <conditionalFormatting sqref="E4">
    <cfRule type="cellIs" dxfId="14" priority="8" operator="equal">
      <formula>0</formula>
    </cfRule>
    <cfRule type="cellIs" dxfId="13" priority="9" operator="equal">
      <formula>6</formula>
    </cfRule>
    <cfRule type="cellIs" dxfId="12" priority="10" operator="equal">
      <formula>10</formula>
    </cfRule>
  </conditionalFormatting>
  <conditionalFormatting sqref="G2">
    <cfRule type="cellIs" dxfId="11" priority="5" operator="greaterThan">
      <formula>0</formula>
    </cfRule>
  </conditionalFormatting>
  <conditionalFormatting sqref="D4">
    <cfRule type="cellIs" dxfId="10" priority="4" operator="equal">
      <formula>0</formula>
    </cfRule>
  </conditionalFormatting>
  <conditionalFormatting sqref="D29">
    <cfRule type="cellIs" dxfId="9" priority="3" operator="equal">
      <formula>0</formula>
    </cfRule>
  </conditionalFormatting>
  <conditionalFormatting sqref="H38:H40">
    <cfRule type="cellIs" dxfId="8" priority="2" operator="equal">
      <formula>"DESCLASSIFICADO: Excede 15 páginas"</formula>
    </cfRule>
  </conditionalFormatting>
  <conditionalFormatting sqref="H33">
    <cfRule type="cellIs" dxfId="7" priority="1" operator="greaterThan">
      <formula>0</formula>
    </cfRule>
  </conditionalFormatting>
  <dataValidations count="5">
    <dataValidation type="list" allowBlank="1" showInputMessage="1" showErrorMessage="1" sqref="E32">
      <formula1>$E$53:$E$54</formula1>
    </dataValidation>
    <dataValidation type="list" allowBlank="1" showInputMessage="1" showErrorMessage="1" sqref="G4">
      <formula1>$G$55:$G$60</formula1>
    </dataValidation>
    <dataValidation type="list" allowBlank="1" showInputMessage="1" showErrorMessage="1" sqref="G33">
      <formula1>$G$53:$G$54</formula1>
    </dataValidation>
    <dataValidation type="decimal" errorStyle="warning" allowBlank="1" showInputMessage="1" showErrorMessage="1" error="Atribuir nota entre 0 e 10" sqref="G32 G5:G28">
      <formula1>0</formula1>
      <formula2>10</formula2>
    </dataValidation>
    <dataValidation type="whole" operator="lessThanOrEqual" allowBlank="1" showInputMessage="1" showErrorMessage="1" sqref="G29">
      <formula1>G2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showGridLines="0" topLeftCell="A7" zoomScale="110" zoomScaleNormal="110" workbookViewId="0">
      <selection activeCell="E15" sqref="E15"/>
    </sheetView>
  </sheetViews>
  <sheetFormatPr defaultRowHeight="15" x14ac:dyDescent="0.25"/>
  <cols>
    <col min="1" max="1" width="2.85546875" style="50" customWidth="1"/>
    <col min="2" max="2" width="34.7109375" style="50" customWidth="1"/>
    <col min="3" max="3" width="60.7109375" style="50" customWidth="1"/>
    <col min="4" max="16384" width="9.140625" style="50"/>
  </cols>
  <sheetData>
    <row r="1" spans="1:5" ht="123" customHeight="1" x14ac:dyDescent="0.25">
      <c r="C1" s="88" t="s">
        <v>74</v>
      </c>
      <c r="D1" s="89"/>
      <c r="E1" s="89"/>
    </row>
    <row r="2" spans="1:5" x14ac:dyDescent="0.25">
      <c r="A2" s="71" t="s">
        <v>38</v>
      </c>
      <c r="B2" s="72"/>
      <c r="C2" s="72"/>
      <c r="D2" s="72"/>
      <c r="E2" s="72"/>
    </row>
    <row r="3" spans="1:5" x14ac:dyDescent="0.25">
      <c r="A3" s="6" t="s">
        <v>0</v>
      </c>
      <c r="B3" s="6" t="s">
        <v>40</v>
      </c>
      <c r="C3" s="6" t="s">
        <v>2</v>
      </c>
      <c r="D3" s="7" t="s">
        <v>3</v>
      </c>
      <c r="E3" s="7" t="s">
        <v>59</v>
      </c>
    </row>
    <row r="4" spans="1:5" ht="30" x14ac:dyDescent="0.25">
      <c r="A4" s="12"/>
      <c r="B4" s="15" t="s">
        <v>62</v>
      </c>
      <c r="C4" s="48" t="s">
        <v>67</v>
      </c>
      <c r="D4" s="102" t="s">
        <v>60</v>
      </c>
      <c r="E4" s="103"/>
    </row>
    <row r="5" spans="1:5" x14ac:dyDescent="0.25">
      <c r="A5" s="12">
        <v>1</v>
      </c>
      <c r="B5" s="48" t="s">
        <v>41</v>
      </c>
      <c r="C5" s="48" t="s">
        <v>42</v>
      </c>
      <c r="D5" s="55">
        <v>0.1</v>
      </c>
      <c r="E5" s="63"/>
    </row>
    <row r="6" spans="1:5" ht="15.75" customHeight="1" x14ac:dyDescent="0.25">
      <c r="A6" s="12">
        <v>2</v>
      </c>
      <c r="B6" s="48" t="s">
        <v>43</v>
      </c>
      <c r="C6" s="48" t="s">
        <v>44</v>
      </c>
      <c r="D6" s="55">
        <v>0.2</v>
      </c>
      <c r="E6" s="63"/>
    </row>
    <row r="7" spans="1:5" ht="45" x14ac:dyDescent="0.25">
      <c r="A7" s="12">
        <v>3</v>
      </c>
      <c r="B7" s="48" t="s">
        <v>45</v>
      </c>
      <c r="C7" s="48" t="s">
        <v>64</v>
      </c>
      <c r="D7" s="55">
        <v>0.15</v>
      </c>
      <c r="E7" s="63"/>
    </row>
    <row r="8" spans="1:5" ht="31.5" customHeight="1" x14ac:dyDescent="0.25">
      <c r="A8" s="12">
        <v>4</v>
      </c>
      <c r="B8" s="48" t="s">
        <v>46</v>
      </c>
      <c r="C8" s="48" t="s">
        <v>63</v>
      </c>
      <c r="D8" s="55">
        <v>0.15</v>
      </c>
      <c r="E8" s="63"/>
    </row>
    <row r="9" spans="1:5" ht="46.5" customHeight="1" x14ac:dyDescent="0.25">
      <c r="A9" s="12">
        <v>5</v>
      </c>
      <c r="B9" s="48" t="s">
        <v>47</v>
      </c>
      <c r="C9" s="48" t="s">
        <v>48</v>
      </c>
      <c r="D9" s="55">
        <v>0.1</v>
      </c>
      <c r="E9" s="63"/>
    </row>
    <row r="10" spans="1:5" ht="31.5" customHeight="1" x14ac:dyDescent="0.25">
      <c r="A10" s="12">
        <v>6</v>
      </c>
      <c r="B10" s="49" t="s">
        <v>49</v>
      </c>
      <c r="C10" s="48" t="s">
        <v>65</v>
      </c>
      <c r="D10" s="55">
        <v>0.1</v>
      </c>
      <c r="E10" s="63"/>
    </row>
    <row r="11" spans="1:5" ht="75" x14ac:dyDescent="0.25">
      <c r="A11" s="12">
        <v>7</v>
      </c>
      <c r="B11" s="48" t="s">
        <v>50</v>
      </c>
      <c r="C11" s="48" t="s">
        <v>66</v>
      </c>
      <c r="D11" s="55">
        <v>0.2</v>
      </c>
      <c r="E11" s="63"/>
    </row>
    <row r="12" spans="1:5" x14ac:dyDescent="0.25">
      <c r="A12" s="71" t="s">
        <v>39</v>
      </c>
      <c r="B12" s="72"/>
      <c r="C12" s="72"/>
      <c r="D12" s="72"/>
      <c r="E12" s="72"/>
    </row>
    <row r="13" spans="1:5" x14ac:dyDescent="0.25">
      <c r="A13" s="12" t="s">
        <v>0</v>
      </c>
      <c r="B13" s="51" t="s">
        <v>40</v>
      </c>
      <c r="C13" s="51" t="s">
        <v>2</v>
      </c>
      <c r="D13" s="7" t="s">
        <v>3</v>
      </c>
      <c r="E13" s="7" t="s">
        <v>59</v>
      </c>
    </row>
    <row r="14" spans="1:5" ht="60" x14ac:dyDescent="0.25">
      <c r="A14" s="12">
        <v>1</v>
      </c>
      <c r="B14" s="48" t="s">
        <v>51</v>
      </c>
      <c r="C14" s="48" t="s">
        <v>52</v>
      </c>
      <c r="D14" s="55">
        <v>0.3</v>
      </c>
      <c r="E14" s="63"/>
    </row>
    <row r="15" spans="1:5" ht="31.5" customHeight="1" x14ac:dyDescent="0.25">
      <c r="A15" s="12">
        <v>2</v>
      </c>
      <c r="B15" s="48" t="s">
        <v>53</v>
      </c>
      <c r="C15" s="48" t="s">
        <v>56</v>
      </c>
      <c r="D15" s="55">
        <v>0.2</v>
      </c>
      <c r="E15" s="63"/>
    </row>
    <row r="16" spans="1:5" ht="60" x14ac:dyDescent="0.25">
      <c r="A16" s="12">
        <v>3</v>
      </c>
      <c r="B16" s="48" t="s">
        <v>54</v>
      </c>
      <c r="C16" s="48" t="s">
        <v>57</v>
      </c>
      <c r="D16" s="55">
        <v>0.3</v>
      </c>
      <c r="E16" s="63"/>
    </row>
    <row r="17" spans="1:5" ht="30" x14ac:dyDescent="0.25">
      <c r="A17" s="12">
        <v>4</v>
      </c>
      <c r="B17" s="48" t="s">
        <v>55</v>
      </c>
      <c r="C17" s="48" t="s">
        <v>58</v>
      </c>
      <c r="D17" s="55">
        <v>0.2</v>
      </c>
      <c r="E17" s="63"/>
    </row>
    <row r="19" spans="1:5" x14ac:dyDescent="0.25">
      <c r="A19" s="80" t="s">
        <v>71</v>
      </c>
      <c r="B19" s="81"/>
      <c r="C19" s="81"/>
      <c r="D19" s="81"/>
      <c r="E19" s="81"/>
    </row>
    <row r="20" spans="1:5" x14ac:dyDescent="0.25">
      <c r="A20" s="14"/>
      <c r="B20" s="98" t="s">
        <v>69</v>
      </c>
      <c r="C20" s="99"/>
      <c r="D20" s="29">
        <v>0.4</v>
      </c>
      <c r="E20" s="30">
        <f>D20*(D5*E5+D6*E6+D7*E7+D8*E8+D9*E9+D10*E10+D11*E11)</f>
        <v>0</v>
      </c>
    </row>
    <row r="21" spans="1:5" x14ac:dyDescent="0.25">
      <c r="A21" s="14"/>
      <c r="B21" s="98" t="s">
        <v>70</v>
      </c>
      <c r="C21" s="99"/>
      <c r="D21" s="29">
        <v>0.6</v>
      </c>
      <c r="E21" s="30">
        <f>D21*(D14*E14+D15*E15+D16*E16+D17*E17)</f>
        <v>0</v>
      </c>
    </row>
    <row r="22" spans="1:5" ht="18.75" x14ac:dyDescent="0.3">
      <c r="A22" s="18"/>
      <c r="B22" s="100" t="s">
        <v>72</v>
      </c>
      <c r="C22" s="101"/>
      <c r="D22" s="20">
        <f>D20+D21</f>
        <v>1</v>
      </c>
      <c r="E22" s="21">
        <f>E20+E21</f>
        <v>0</v>
      </c>
    </row>
    <row r="38" spans="4:4" hidden="1" x14ac:dyDescent="0.25">
      <c r="D38" s="50" t="s">
        <v>60</v>
      </c>
    </row>
    <row r="39" spans="4:4" hidden="1" x14ac:dyDescent="0.25">
      <c r="D39" s="50" t="s">
        <v>61</v>
      </c>
    </row>
  </sheetData>
  <sheetProtection password="8D66" sheet="1" objects="1" scenarios="1" formatCells="0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1">
    <cfRule type="cellIs" dxfId="3" priority="8" operator="greaterThan">
      <formula>0</formula>
    </cfRule>
  </conditionalFormatting>
  <conditionalFormatting sqref="E14:E17">
    <cfRule type="cellIs" dxfId="2" priority="7" operator="greaterThan">
      <formula>0</formula>
    </cfRule>
  </conditionalFormatting>
  <conditionalFormatting sqref="E22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Maria Luiza Ferreira</cp:lastModifiedBy>
  <dcterms:created xsi:type="dcterms:W3CDTF">2016-11-10T11:23:36Z</dcterms:created>
  <dcterms:modified xsi:type="dcterms:W3CDTF">2017-05-16T13:18:45Z</dcterms:modified>
</cp:coreProperties>
</file>