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Z:\Coordenadoria PIICT\2025 - 2026\"/>
    </mc:Choice>
  </mc:AlternateContent>
  <bookViews>
    <workbookView xWindow="0" yWindow="0" windowWidth="28800" windowHeight="12330"/>
  </bookViews>
  <sheets>
    <sheet name="1 - Pontuação Global" sheetId="8" r:id="rId1"/>
    <sheet name="2 - Projeto e Plano de Trabalho" sheetId="2" r:id="rId2"/>
  </sheets>
  <calcPr calcId="162913"/>
</workbook>
</file>

<file path=xl/calcChain.xml><?xml version="1.0" encoding="utf-8"?>
<calcChain xmlns="http://schemas.openxmlformats.org/spreadsheetml/2006/main">
  <c r="D38" i="8" l="1"/>
  <c r="K6" i="8" l="1"/>
  <c r="H2" i="8" l="1"/>
  <c r="D37" i="8" l="1"/>
  <c r="F28" i="8"/>
  <c r="E28" i="8" s="1"/>
  <c r="F17" i="8"/>
  <c r="E17" i="8" s="1"/>
  <c r="F6" i="8"/>
  <c r="E6" i="8" s="1"/>
  <c r="E5" i="8"/>
  <c r="H28" i="8"/>
  <c r="H29" i="8"/>
  <c r="C6" i="8"/>
  <c r="H20" i="8"/>
  <c r="H19" i="8"/>
  <c r="H9" i="8"/>
  <c r="H8" i="8"/>
  <c r="E4" i="8"/>
  <c r="C17" i="8" l="1"/>
  <c r="H25" i="8" l="1"/>
  <c r="H24" i="8"/>
  <c r="H23" i="8"/>
  <c r="H22" i="8"/>
  <c r="H21" i="8"/>
  <c r="H18" i="8"/>
  <c r="H17" i="8"/>
  <c r="H15" i="8"/>
  <c r="H14" i="8"/>
  <c r="H13" i="8"/>
  <c r="H12" i="8"/>
  <c r="H11" i="8"/>
  <c r="H10" i="8"/>
  <c r="H7" i="8"/>
  <c r="H6" i="8"/>
  <c r="C38" i="8" l="1"/>
  <c r="D32" i="8"/>
  <c r="H37" i="8" l="1"/>
  <c r="E22" i="2"/>
  <c r="E21" i="2"/>
  <c r="D23" i="2"/>
  <c r="E23" i="2" l="1"/>
  <c r="E34" i="8"/>
  <c r="E32" i="8"/>
  <c r="G33" i="8" l="1"/>
  <c r="E33" i="8" s="1"/>
  <c r="G37" i="8"/>
  <c r="E39" i="8" l="1"/>
  <c r="D39" i="8"/>
  <c r="F37" i="8"/>
  <c r="F38" i="8" l="1"/>
  <c r="G38" i="8"/>
  <c r="G39" i="8" s="1"/>
</calcChain>
</file>

<file path=xl/comments1.xml><?xml version="1.0" encoding="utf-8"?>
<comments xmlns="http://schemas.openxmlformats.org/spreadsheetml/2006/main">
  <authors>
    <author>ARMANDO ALBERTAZZI GONCALVES JUNIOR</author>
    <author>Maria Luiza Ferreira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Clique e escolha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</rPr>
          <t>Incluir pontuação para Livros, Capítulos de Livros, Patentes, Organização de Livro.
Equivalência:
capítulo internacional: B3
patente intern: B3
patente nac: B4
capítulo nacional: B4
organização de livro (internac = B2), (nac=B4)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O solicitante precisa possuir perfil na plataforma Google Citações e gerar o seu Fator H.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Nota máxima saturada em 2,0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>APLICAR TABELA DE FATOR H DOS PROPONENTES
MAIOR FATOR H VALE 2 PONTOS
MENOR FATOR H VALE 0,1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Nota máxima saturada em 3,00</t>
        </r>
      </text>
    </comment>
    <comment ref="G6" authorId="0" shapeId="0">
      <text>
        <r>
          <rPr>
            <b/>
            <sz val="9"/>
            <color indexed="81"/>
            <rFont val="Tahoma"/>
            <family val="2"/>
          </rPr>
          <t>Informe apenas números inteiros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>Informe apenas números inteiros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Informe apenas números inteiros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Informe apenas números inteiros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Informe apenas números inteiros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Informe apenas números inteiros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>Informe apenas números inteiros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Informe apenas números inteiros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</rPr>
          <t>Informe apenas números inteiros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>Informe apenas números inteiros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</rPr>
          <t>Nota máxima saturada em 2,00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</rPr>
          <t>Para o período de três anos conte: 
1,0 para cada orientação concluída,
0,5 para cada coorientação concluída,
0,5 por orientação em andamento,
0,25 por coorientação em andamento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</rPr>
          <t>Para o período de três anos conte: 
1,0 para cada orientação concluída,
0,5 para cada coorientação concluída,
0,5 por orientação em andamento,
0,25 por coorientação em andamento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</rPr>
          <t>Para o período de três anos conte: 
1,0 para cada orientação concluída,
0,5 para cada coorientação concluída,
0,5 por orientação em andamento,
0,25 por coorientação em andamento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</rPr>
          <t>Para o período de três anos conte: 
1,0 para cada orientação concluída,
0,5 para cada coorientação concluída,
0,5 por orientação em andamento,
0,25 por coorientação em andamento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</rPr>
          <t>Para o período de três anos conte: 
1,0 para cada orientação concluída,
0,5 para cada coorientação concluída,
0,5 por orientação em andamento,
0,25 por coorientação em andamento</t>
        </r>
      </text>
    </comment>
    <comment ref="G22" authorId="0" shapeId="0">
      <text>
        <r>
          <rPr>
            <b/>
            <sz val="9"/>
            <color indexed="81"/>
            <rFont val="Tahoma"/>
            <family val="2"/>
          </rPr>
          <t>Para o período de três anos conte: 
1,0 para cada orientação concluída,
0,5 para cada coorientação concluída,
0,5 por orientação em andamento,
0,25 por coorientação em andamento</t>
        </r>
      </text>
    </comment>
    <comment ref="G23" authorId="0" shapeId="0">
      <text>
        <r>
          <rPr>
            <b/>
            <sz val="9"/>
            <color indexed="81"/>
            <rFont val="Tahoma"/>
            <family val="2"/>
          </rPr>
          <t>Para o período de três anos conte: 
1,0 para cada orientação concluída,
0,5 para cada coorientação concluída,
0,5 por orientação em andamento,
0,25 por coorientação em andamento</t>
        </r>
      </text>
    </comment>
    <comment ref="G24" authorId="0" shapeId="0">
      <text>
        <r>
          <rPr>
            <b/>
            <sz val="9"/>
            <color indexed="81"/>
            <rFont val="Tahoma"/>
            <family val="2"/>
          </rPr>
          <t>Para o período de três anos conte: 
1,0 para cada orientação concluída,
0,5 para cada coorientação concluída,
0,5 por orientação em andamento,
0,25 por coorientação em andamento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Para o período de três anos conte: 
1,0 para cada orientação concluída,
0,5 para cada coorientação concluída,
0,5 por orientação em andamento,
0,25 por coorientação em andamento</t>
        </r>
      </text>
    </comment>
    <comment ref="E27" authorId="1" shapeId="0">
      <text>
        <r>
          <rPr>
            <b/>
            <sz val="9"/>
            <color indexed="81"/>
            <rFont val="Segoe UI"/>
            <family val="2"/>
          </rPr>
          <t xml:space="preserve">AGREGA 20% NO SOMATORIO DA  PONTUAÇÃO OBTIDA DE PRODUÇÃO + PROPRIEDDE INTELECTUAL + ORIENTAÇÃO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8" authorId="0" shapeId="0">
      <text>
        <r>
          <rPr>
            <b/>
            <sz val="9"/>
            <color indexed="81"/>
            <rFont val="Tahoma"/>
            <family val="2"/>
          </rPr>
          <t>Nota máxima saturada em 2,0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</rPr>
          <t>Clique e escolha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</rPr>
          <t>Não escreva aqui. 
O preenchimento será automático.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</rPr>
          <t>Nota máxima saturada em 6,00</t>
        </r>
      </text>
    </comment>
    <comment ref="G37" authorId="0" shapeId="0">
      <text>
        <r>
          <rPr>
            <b/>
            <sz val="9"/>
            <color indexed="81"/>
            <rFont val="Tahoma"/>
            <family val="2"/>
          </rPr>
          <t>Nota máxima saturada em 6,00</t>
        </r>
      </text>
    </comment>
    <comment ref="C38" authorId="0" shapeId="0">
      <text>
        <r>
          <rPr>
            <b/>
            <sz val="9"/>
            <color indexed="81"/>
            <rFont val="Tahoma"/>
            <family val="2"/>
          </rPr>
          <t>É atribuída pontuação adicional de 10% no caso do projeto possuir financiamento externo.</t>
        </r>
      </text>
    </comment>
    <comment ref="G38" authorId="0" shapeId="0">
      <text>
        <r>
          <rPr>
            <b/>
            <sz val="9"/>
            <color indexed="81"/>
            <rFont val="Tahoma"/>
            <family val="2"/>
          </rPr>
          <t>Nota máxima saturada em 4,00</t>
        </r>
      </text>
    </comment>
    <comment ref="G39" authorId="0" shapeId="0">
      <text>
        <r>
          <rPr>
            <b/>
            <sz val="9"/>
            <color indexed="81"/>
            <rFont val="Tahoma"/>
            <family val="2"/>
          </rPr>
          <t>Nota mínima para aprovação: 6,00.
Nota máxima saturada em 10,0</t>
        </r>
      </text>
    </comment>
  </commentList>
</comments>
</file>

<file path=xl/comments2.xml><?xml version="1.0" encoding="utf-8"?>
<comments xmlns="http://schemas.openxmlformats.org/spreadsheetml/2006/main">
  <authors>
    <author>ARMANDO ALBERTAZZI GONCALVES JUNIOR</author>
  </authors>
  <commentList>
    <comment ref="E3" authorId="0" shapeId="0">
      <text>
        <r>
          <rPr>
            <b/>
            <sz val="9"/>
            <color indexed="81"/>
            <rFont val="Tahoma"/>
            <family val="2"/>
          </rPr>
          <t>Notas entre 0 e 10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</rPr>
          <t>Clique e escolha</t>
        </r>
      </text>
    </comment>
  </commentList>
</comments>
</file>

<file path=xl/sharedStrings.xml><?xml version="1.0" encoding="utf-8"?>
<sst xmlns="http://schemas.openxmlformats.org/spreadsheetml/2006/main" count="98" uniqueCount="79">
  <si>
    <t>Nº</t>
  </si>
  <si>
    <t>Denominação</t>
  </si>
  <si>
    <t>Explicação</t>
  </si>
  <si>
    <t>Peso</t>
  </si>
  <si>
    <t>Pontos</t>
  </si>
  <si>
    <t>Bolsista CNPq</t>
  </si>
  <si>
    <t>Ser bolsista PQ ou DT do CNPq no momento da avaliação</t>
  </si>
  <si>
    <t>Interpretação/explicação</t>
  </si>
  <si>
    <t>PESQUISADOR</t>
  </si>
  <si>
    <t>PROJETO E PLANO DE TRABALHO</t>
  </si>
  <si>
    <t>Existência de financiamento externo</t>
  </si>
  <si>
    <t>SIM</t>
  </si>
  <si>
    <t>NÃO</t>
  </si>
  <si>
    <t>Pesquisador</t>
  </si>
  <si>
    <t>Nota Final</t>
  </si>
  <si>
    <t>Relatório parcial</t>
  </si>
  <si>
    <t>Avaliação do relatório parcial enviado pelo bolsista após correção pelo orientador. (Se não entregou, não estará habilitado a apresentar proposta)</t>
  </si>
  <si>
    <t>Não é bolsista</t>
  </si>
  <si>
    <t>Não se aplica</t>
  </si>
  <si>
    <t>Aplica-se</t>
  </si>
  <si>
    <t>Notas</t>
  </si>
  <si>
    <t>Qualidade do projeto a ser desenvolvido e do plano de trabalho previsto para o bolsista (relevância para a formação do bolsista, objetivos claros, atividades previstas, cronograma)</t>
  </si>
  <si>
    <t>Projeto e plano de trabalho</t>
  </si>
  <si>
    <t>Ano-base:</t>
  </si>
  <si>
    <t>Projeto e Plano de Trabalho</t>
  </si>
  <si>
    <t>Quantidade</t>
  </si>
  <si>
    <t>PROJETO DE PESQUISA</t>
  </si>
  <si>
    <t>PLANO DE TRABALHO PARA O BOLSISTA</t>
  </si>
  <si>
    <t>Item de Avaliação</t>
  </si>
  <si>
    <r>
      <rPr>
        <b/>
        <sz val="11"/>
        <color theme="1"/>
        <rFont val="Calibri"/>
        <family val="2"/>
        <scheme val="minor"/>
      </rPr>
      <t>Formato</t>
    </r>
    <r>
      <rPr>
        <sz val="11"/>
        <color theme="1"/>
        <rFont val="Calibri"/>
        <family val="2"/>
        <scheme val="minor"/>
      </rPr>
      <t xml:space="preserve">: </t>
    </r>
  </si>
  <si>
    <t>Apresentação, redação, estruturação organizada...</t>
  </si>
  <si>
    <r>
      <rPr>
        <b/>
        <sz val="11"/>
        <color theme="1"/>
        <rFont val="Calibri"/>
        <family val="2"/>
        <scheme val="minor"/>
      </rPr>
      <t>Justificativa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</si>
  <si>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Objetivos</t>
    </r>
    <r>
      <rPr>
        <sz val="11"/>
        <color theme="1"/>
        <rFont val="Calibri"/>
        <family val="2"/>
        <scheme val="minor"/>
      </rPr>
      <t xml:space="preserve"> </t>
    </r>
  </si>
  <si>
    <t>Os objetivos gerais e específicos são apresentados claramente, de forma delimitada? Os objetivos específicos definem os diferentes pontos a serem acordados dentro do objetivo geral?</t>
  </si>
  <si>
    <t>Atualização e relevância das referências bibliográficas</t>
  </si>
  <si>
    <r>
      <rPr>
        <b/>
        <sz val="11"/>
        <color theme="1"/>
        <rFont val="Calibri"/>
        <family val="2"/>
        <scheme val="minor"/>
      </rPr>
      <t>Coerência</t>
    </r>
    <r>
      <rPr>
        <sz val="11"/>
        <color theme="1"/>
        <rFont val="Calibri"/>
        <family val="2"/>
        <scheme val="minor"/>
      </rPr>
      <t xml:space="preserve"> dos objetivos propostos com a metodologia a ser utilizada, com os resultados pretendidos e com a avaliação da proposta </t>
    </r>
  </si>
  <si>
    <r>
      <rPr>
        <b/>
        <sz val="11"/>
        <color theme="1"/>
        <rFont val="Calibri"/>
        <family val="2"/>
        <scheme val="minor"/>
      </rPr>
      <t>Viabilidade temporal e econômica</t>
    </r>
    <r>
      <rPr>
        <sz val="11"/>
        <color theme="1"/>
        <rFont val="Calibri"/>
        <family val="2"/>
        <scheme val="minor"/>
      </rPr>
      <t xml:space="preserve"> da execução das atividades.</t>
    </r>
  </si>
  <si>
    <t>O aluno terá material disponível para realização das atividades? Há viabilidade de tempo para a execução das ações previstas?</t>
  </si>
  <si>
    <t>As atividades realizadas são condizentes com os objetivos do projeto de pesquisa? a execução das ações previstas no plano do aluno está temporalmente relacionada ao prazo proposto no projeto.</t>
  </si>
  <si>
    <t>Nota</t>
  </si>
  <si>
    <t>Sim</t>
  </si>
  <si>
    <t>Não</t>
  </si>
  <si>
    <r>
      <rPr>
        <b/>
        <sz val="11"/>
        <color theme="1"/>
        <rFont val="Calibri"/>
        <family val="2"/>
        <scheme val="minor"/>
      </rPr>
      <t>Limite de páginas</t>
    </r>
    <r>
      <rPr>
        <sz val="11"/>
        <color theme="1"/>
        <rFont val="Calibri"/>
        <family val="2"/>
        <scheme val="minor"/>
      </rPr>
      <t xml:space="preserve"> do projeto.</t>
    </r>
  </si>
  <si>
    <t>O levantamento bibliográfico apresentado é atual? Os trabalhos citados são relevantes para a proposta apresentada?</t>
  </si>
  <si>
    <t>A metodologia é apresentada de forma a descrever como cada objetivo será alcançado? Os resultados pretendidos estão relacionados com os objetivos propostos?). A avaliação das soluções propostas é apresentada de forma a provar que os objetivos definidos serão alcançados?</t>
  </si>
  <si>
    <t>Está dentro do limite máximo de 15 páginas? (Sem incluir o plano de trabalho do bolsista).</t>
  </si>
  <si>
    <t>AVALIAÇÃO GLOBAL</t>
  </si>
  <si>
    <t>Projeto de Pesquisa</t>
  </si>
  <si>
    <t>Plano de Trabalho do Bolsista</t>
  </si>
  <si>
    <t>AVALIAÇÃO DO PROJETO DE PESQUISA E PLANO DE TRABALHO</t>
  </si>
  <si>
    <t>Nota Final da Avaliação do Projeto e Plano de Trabalho</t>
  </si>
  <si>
    <t>Preenchimento automático de acordo com nota da planilha "Projeto e Plano de Trabalho"</t>
  </si>
  <si>
    <t>Avaliação de Solicitações de Bolsas IC
- Projeto e Plano de Trabalho -</t>
  </si>
  <si>
    <t>Escolha da lista o tipo de bolsa</t>
  </si>
  <si>
    <t>O projeto-mãe foi aprovado por agência ou financiador externo e receberá aporte de recursos. Não se aplica a projetos viculados apenas às bolsas de produtividade.</t>
  </si>
  <si>
    <r>
      <t>Formação de Recursos Humanos: Orientações</t>
    </r>
    <r>
      <rPr>
        <sz val="11"/>
        <color theme="1"/>
        <rFont val="Calibri"/>
        <family val="2"/>
        <scheme val="minor"/>
      </rPr>
      <t>.</t>
    </r>
  </si>
  <si>
    <t>Produção científica, tecnológica e/ou artística</t>
  </si>
  <si>
    <t>As atividades do bolsista são importantes, ou contribuem, para que os objetivos do projeto sejam atingidos?</t>
  </si>
  <si>
    <t xml:space="preserve">Avaliação de Solicitações de Bolsas PIBITI
- Pesquisador - </t>
  </si>
  <si>
    <t>Bolsa PQ</t>
  </si>
  <si>
    <t>Bolsa DT</t>
  </si>
  <si>
    <t xml:space="preserve">Experiência e competência </t>
  </si>
  <si>
    <t>Demonstrada em projetos com viés de desenvolvimento tecnológico, inovação e/ou transferência de tecnologia.
Informe o ano em que obteve o título de doutor.</t>
  </si>
  <si>
    <t>Contribuições</t>
  </si>
  <si>
    <r>
      <rPr>
        <b/>
        <sz val="11"/>
        <color theme="1"/>
        <rFont val="Calibri"/>
        <family val="2"/>
        <scheme val="minor"/>
      </rPr>
      <t>Inserção no projeto de pesquisa</t>
    </r>
    <r>
      <rPr>
        <sz val="11"/>
        <color theme="1"/>
        <rFont val="Calibri"/>
        <family val="2"/>
        <scheme val="minor"/>
      </rPr>
      <t xml:space="preserve"> </t>
    </r>
  </si>
  <si>
    <t>Relevância das atividades para o projeto</t>
  </si>
  <si>
    <r>
      <rPr>
        <b/>
        <sz val="11"/>
        <color theme="1"/>
        <rFont val="Calibri"/>
        <family val="2"/>
        <scheme val="minor"/>
      </rPr>
      <t>Adequação</t>
    </r>
    <r>
      <rPr>
        <sz val="11"/>
        <color theme="1"/>
        <rFont val="Calibri"/>
        <family val="2"/>
        <scheme val="minor"/>
      </rPr>
      <t xml:space="preserve"> das atividades previstas à natureza da Iniciação Tecnológica e Inovação </t>
    </r>
  </si>
  <si>
    <t>As atividades são condizentes com ações específicas para um bolsista de iniciação tecnológica ou de inovação Nível de dificuldade é adequado? Os pré-requisitos necessários para a realização das atividades são exequíveis por um aluno de graduação?.</t>
  </si>
  <si>
    <t>Mérito Tecnológico e/ou de Inovação</t>
  </si>
  <si>
    <t>O projeto caracteriza um projeto de pesquisa, com mérito tecnológico ou de inovação?</t>
  </si>
  <si>
    <t xml:space="preserve">As contribuições dos resultados do projeto são bem claras? Há claras contribuições para o desenvolvimento tecnológico e/ou para inovação? Há perspectivas dos resultados beneficiarem o setor industrial e/ou social? </t>
  </si>
  <si>
    <t>Existe descrição sobre a importância da realização do projeto? São apontadas: motivação, delimitação, relevância e viabilidade?</t>
  </si>
  <si>
    <t xml:space="preserve">Considerar se há justificativa descrita no projeto que demonstre ser um projeto de tecnologia social ou iniciativa da economia solidária </t>
  </si>
  <si>
    <t>LICENÇAS-MATERNIDADE</t>
  </si>
  <si>
    <t>+ 20%</t>
  </si>
  <si>
    <t>ÍNDICE H: O índice H de um pesquisador é definido com o número de artigos publicados pelo pesquisador, os quais obtenham citações maiores ou iguais a esse número.</t>
  </si>
  <si>
    <t>0,05 por orientação de bolsas PIBIC-EM</t>
  </si>
  <si>
    <t>O projeto apresenta aderencia à definição de tecnologia social</t>
  </si>
  <si>
    <t>Licença maternidade desde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</si>
</sst>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rgb="FF0000CC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0" borderId="3" xfId="0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vertical="center"/>
    </xf>
    <xf numFmtId="0" fontId="0" fillId="7" borderId="1" xfId="0" applyFill="1" applyBorder="1" applyAlignment="1">
      <alignment horizontal="center"/>
    </xf>
    <xf numFmtId="164" fontId="0" fillId="7" borderId="1" xfId="1" applyNumberFormat="1" applyFont="1" applyFill="1" applyBorder="1" applyAlignment="1">
      <alignment horizontal="center"/>
    </xf>
    <xf numFmtId="2" fontId="3" fillId="7" borderId="1" xfId="1" applyNumberFormat="1" applyFont="1" applyFill="1" applyBorder="1" applyAlignment="1">
      <alignment horizontal="center"/>
    </xf>
    <xf numFmtId="2" fontId="0" fillId="10" borderId="1" xfId="1" applyNumberFormat="1" applyFont="1" applyFill="1" applyBorder="1" applyAlignment="1">
      <alignment horizontal="center" vertical="center"/>
    </xf>
    <xf numFmtId="164" fontId="0" fillId="9" borderId="1" xfId="1" applyNumberFormat="1" applyFont="1" applyFill="1" applyBorder="1" applyAlignment="1">
      <alignment horizontal="center"/>
    </xf>
    <xf numFmtId="2" fontId="0" fillId="9" borderId="1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left" vertical="center"/>
    </xf>
    <xf numFmtId="9" fontId="0" fillId="9" borderId="1" xfId="0" applyNumberFormat="1" applyFill="1" applyBorder="1" applyAlignment="1">
      <alignment horizontal="center" vertical="center"/>
    </xf>
    <xf numFmtId="0" fontId="0" fillId="9" borderId="1" xfId="0" applyFill="1" applyBorder="1" applyAlignment="1">
      <alignment vertical="center" wrapText="1"/>
    </xf>
    <xf numFmtId="1" fontId="0" fillId="10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/>
    </xf>
    <xf numFmtId="2" fontId="9" fillId="9" borderId="1" xfId="1" applyNumberFormat="1" applyFont="1" applyFill="1" applyBorder="1" applyAlignment="1">
      <alignment horizontal="center" vertical="center"/>
    </xf>
    <xf numFmtId="1" fontId="9" fillId="9" borderId="1" xfId="1" applyNumberFormat="1" applyFont="1" applyFill="1" applyBorder="1" applyAlignment="1">
      <alignment horizontal="center" vertical="center"/>
    </xf>
    <xf numFmtId="164" fontId="9" fillId="9" borderId="5" xfId="1" applyNumberFormat="1" applyFont="1" applyFill="1" applyBorder="1" applyAlignment="1">
      <alignment vertical="center"/>
    </xf>
    <xf numFmtId="165" fontId="9" fillId="9" borderId="5" xfId="1" applyNumberFormat="1" applyFont="1" applyFill="1" applyBorder="1" applyAlignment="1">
      <alignment vertical="center"/>
    </xf>
    <xf numFmtId="2" fontId="9" fillId="9" borderId="5" xfId="1" applyNumberFormat="1" applyFont="1" applyFill="1" applyBorder="1" applyAlignment="1">
      <alignment vertical="center"/>
    </xf>
    <xf numFmtId="1" fontId="9" fillId="10" borderId="1" xfId="1" applyNumberFormat="1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center" vertical="center"/>
    </xf>
    <xf numFmtId="2" fontId="9" fillId="10" borderId="1" xfId="1" applyNumberFormat="1" applyFont="1" applyFill="1" applyBorder="1" applyAlignment="1" applyProtection="1">
      <alignment horizontal="center" vertical="center"/>
      <protection locked="0"/>
    </xf>
    <xf numFmtId="164" fontId="9" fillId="9" borderId="1" xfId="1" applyNumberFormat="1" applyFont="1" applyFill="1" applyBorder="1" applyAlignment="1">
      <alignment horizontal="center" vertical="center"/>
    </xf>
    <xf numFmtId="0" fontId="9" fillId="9" borderId="1" xfId="1" applyNumberFormat="1" applyFont="1" applyFill="1" applyBorder="1" applyAlignment="1">
      <alignment horizontal="center" vertical="center"/>
    </xf>
    <xf numFmtId="1" fontId="9" fillId="0" borderId="1" xfId="1" applyNumberFormat="1" applyFont="1" applyBorder="1" applyAlignment="1" applyProtection="1">
      <alignment horizontal="center" vertical="center"/>
      <protection locked="0"/>
    </xf>
    <xf numFmtId="1" fontId="9" fillId="10" borderId="1" xfId="1" applyNumberFormat="1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2" fontId="11" fillId="9" borderId="1" xfId="1" applyNumberFormat="1" applyFont="1" applyFill="1" applyBorder="1" applyAlignment="1">
      <alignment horizontal="center" vertical="center"/>
    </xf>
    <xf numFmtId="1" fontId="8" fillId="10" borderId="8" xfId="1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1" fontId="9" fillId="8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2" fontId="0" fillId="0" borderId="0" xfId="0" applyNumberFormat="1" applyAlignment="1">
      <alignment vertical="center"/>
    </xf>
    <xf numFmtId="0" fontId="11" fillId="0" borderId="3" xfId="0" applyFont="1" applyBorder="1" applyAlignment="1">
      <alignment vertical="center"/>
    </xf>
    <xf numFmtId="2" fontId="0" fillId="0" borderId="0" xfId="0" applyNumberFormat="1" applyAlignment="1">
      <alignment horizontal="center" vertical="center"/>
    </xf>
    <xf numFmtId="2" fontId="9" fillId="10" borderId="3" xfId="1" applyNumberFormat="1" applyFont="1" applyFill="1" applyBorder="1" applyAlignment="1" applyProtection="1">
      <alignment horizontal="center" vertical="center"/>
      <protection locked="0"/>
    </xf>
    <xf numFmtId="14" fontId="0" fillId="0" borderId="0" xfId="0" applyNumberFormat="1" applyAlignment="1">
      <alignment vertical="center"/>
    </xf>
    <xf numFmtId="2" fontId="3" fillId="0" borderId="0" xfId="0" applyNumberFormat="1" applyFont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0" fontId="9" fillId="0" borderId="1" xfId="1" applyNumberFormat="1" applyFont="1" applyBorder="1" applyAlignment="1">
      <alignment horizontal="center" vertical="center"/>
    </xf>
    <xf numFmtId="1" fontId="9" fillId="0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7" borderId="1" xfId="0" applyFill="1" applyBorder="1" applyAlignment="1">
      <alignment horizontal="center" vertical="center"/>
    </xf>
    <xf numFmtId="0" fontId="5" fillId="7" borderId="1" xfId="0" applyFont="1" applyFill="1" applyBorder="1" applyAlignment="1">
      <alignment vertical="center"/>
    </xf>
    <xf numFmtId="0" fontId="0" fillId="7" borderId="1" xfId="0" applyFill="1" applyBorder="1" applyAlignment="1">
      <alignment vertical="center"/>
    </xf>
    <xf numFmtId="164" fontId="9" fillId="7" borderId="1" xfId="1" applyNumberFormat="1" applyFont="1" applyFill="1" applyBorder="1" applyAlignment="1">
      <alignment horizontal="center" vertical="center"/>
    </xf>
    <xf numFmtId="2" fontId="8" fillId="7" borderId="1" xfId="1" applyNumberFormat="1" applyFont="1" applyFill="1" applyBorder="1" applyAlignment="1">
      <alignment horizontal="center" vertical="center"/>
    </xf>
    <xf numFmtId="2" fontId="10" fillId="7" borderId="1" xfId="1" applyNumberFormat="1" applyFont="1" applyFill="1" applyBorder="1" applyAlignment="1">
      <alignment horizontal="center" vertical="center"/>
    </xf>
    <xf numFmtId="1" fontId="9" fillId="0" borderId="1" xfId="1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2" fontId="9" fillId="9" borderId="3" xfId="1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1" fontId="9" fillId="10" borderId="3" xfId="1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left" vertical="center" wrapText="1"/>
    </xf>
    <xf numFmtId="49" fontId="9" fillId="9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" fontId="9" fillId="0" borderId="1" xfId="1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  <xf numFmtId="9" fontId="9" fillId="9" borderId="0" xfId="0" applyNumberFormat="1" applyFont="1" applyFill="1" applyAlignment="1">
      <alignment horizontal="center" vertical="center"/>
    </xf>
    <xf numFmtId="2" fontId="9" fillId="9" borderId="3" xfId="1" applyNumberFormat="1" applyFont="1" applyFill="1" applyBorder="1" applyAlignment="1">
      <alignment horizontal="center" vertical="center"/>
    </xf>
    <xf numFmtId="2" fontId="9" fillId="9" borderId="4" xfId="1" applyNumberFormat="1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3" fillId="5" borderId="8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6" borderId="7" xfId="0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left" vertical="center"/>
    </xf>
    <xf numFmtId="0" fontId="3" fillId="6" borderId="8" xfId="0" applyFont="1" applyFill="1" applyBorder="1" applyAlignment="1">
      <alignment horizontal="left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4" borderId="5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2" fontId="9" fillId="9" borderId="5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right" vertical="center"/>
    </xf>
    <xf numFmtId="0" fontId="3" fillId="6" borderId="7" xfId="0" applyFont="1" applyFill="1" applyBorder="1" applyAlignment="1">
      <alignment horizontal="left"/>
    </xf>
    <xf numFmtId="0" fontId="3" fillId="6" borderId="6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5" fillId="7" borderId="7" xfId="0" applyFont="1" applyFill="1" applyBorder="1" applyAlignment="1">
      <alignment horizontal="left"/>
    </xf>
    <xf numFmtId="0" fontId="5" fillId="7" borderId="8" xfId="0" applyFont="1" applyFill="1" applyBorder="1" applyAlignment="1">
      <alignment horizontal="left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>
      <alignment horizontal="left"/>
    </xf>
  </cellXfs>
  <cellStyles count="2">
    <cellStyle name="Normal" xfId="0" builtinId="0"/>
    <cellStyle name="Porcentagem" xfId="1" builtinId="5"/>
  </cellStyles>
  <dxfs count="33">
    <dxf>
      <font>
        <color rgb="FF9C0006"/>
      </font>
      <fill>
        <patternFill>
          <bgColor rgb="FFFFC7CE"/>
        </patternFill>
      </fill>
    </dxf>
    <dxf>
      <fill>
        <patternFill>
          <bgColor rgb="FF99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9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6" tint="0.39988402966399123"/>
          <bgColor theme="6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99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99FF99"/>
        </patternFill>
      </fill>
    </dxf>
    <dxf>
      <fill>
        <patternFill>
          <bgColor rgb="FF99FF99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FF99"/>
      <color rgb="FFFFFF99"/>
      <color rgb="FFCCECFF"/>
      <color rgb="FFFFCCCC"/>
      <color rgb="FFFFFFCC"/>
      <color rgb="FFFF7C8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86591</xdr:colOff>
      <xdr:row>0</xdr:row>
      <xdr:rowOff>0</xdr:rowOff>
    </xdr:from>
    <xdr:to>
      <xdr:col>1</xdr:col>
      <xdr:colOff>1762169</xdr:colOff>
      <xdr:row>0</xdr:row>
      <xdr:rowOff>927962</xdr:rowOff>
    </xdr:to>
    <xdr:grpSp>
      <xdr:nvGrpSpPr>
        <xdr:cNvPr id="4" name="Grupo 3"/>
        <xdr:cNvGrpSpPr/>
      </xdr:nvGrpSpPr>
      <xdr:grpSpPr>
        <a:xfrm>
          <a:off x="308841" y="0"/>
          <a:ext cx="1675578" cy="927962"/>
          <a:chOff x="11932062" y="371117"/>
          <a:chExt cx="1675578" cy="1163971"/>
        </a:xfrm>
      </xdr:grpSpPr>
      <xdr:sp macro="" textlink="">
        <xdr:nvSpPr>
          <xdr:cNvPr id="5" name="Retângulo 4"/>
          <xdr:cNvSpPr/>
        </xdr:nvSpPr>
        <xdr:spPr>
          <a:xfrm>
            <a:off x="11932062" y="379776"/>
            <a:ext cx="1126014" cy="937629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5400" b="1" cap="none" spc="0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chemeClr val="bg2">
                    <a:tint val="85000"/>
                    <a:satMod val="155000"/>
                  </a:schemeClr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</a:rPr>
              <a:t>PIB</a:t>
            </a:r>
          </a:p>
        </xdr:txBody>
      </xdr:sp>
      <xdr:sp macro="" textlink="">
        <xdr:nvSpPr>
          <xdr:cNvPr id="6" name="Retângulo 5"/>
          <xdr:cNvSpPr/>
        </xdr:nvSpPr>
        <xdr:spPr>
          <a:xfrm>
            <a:off x="12871861" y="371117"/>
            <a:ext cx="735779" cy="937629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5400" b="1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gradFill>
                  <a:gsLst>
                    <a:gs pos="0">
                      <a:schemeClr val="accent1">
                        <a:tint val="40000"/>
                        <a:satMod val="250000"/>
                      </a:schemeClr>
                    </a:gs>
                    <a:gs pos="9000">
                      <a:schemeClr val="accent1">
                        <a:tint val="52000"/>
                        <a:satMod val="300000"/>
                      </a:schemeClr>
                    </a:gs>
                    <a:gs pos="50000">
                      <a:schemeClr val="accent1">
                        <a:shade val="20000"/>
                        <a:satMod val="300000"/>
                      </a:schemeClr>
                    </a:gs>
                    <a:gs pos="79000">
                      <a:schemeClr val="accent1">
                        <a:tint val="52000"/>
                        <a:satMod val="300000"/>
                      </a:schemeClr>
                    </a:gs>
                    <a:gs pos="100000">
                      <a:schemeClr val="accent1">
                        <a:tint val="40000"/>
                        <a:satMod val="250000"/>
                      </a:schemeClr>
                    </a:gs>
                  </a:gsLst>
                  <a:lin ang="5400000"/>
                </a:gradFill>
                <a:effectLst/>
              </a:rPr>
              <a:t>IC</a:t>
            </a:r>
          </a:p>
        </xdr:txBody>
      </xdr:sp>
      <xdr:sp macro="" textlink="">
        <xdr:nvSpPr>
          <xdr:cNvPr id="7" name="Retângulo 6"/>
          <xdr:cNvSpPr/>
        </xdr:nvSpPr>
        <xdr:spPr>
          <a:xfrm>
            <a:off x="12876351" y="1129656"/>
            <a:ext cx="726802" cy="405432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marL="0" indent="0" algn="ctr"/>
            <a:r>
              <a:rPr lang="pt-BR" sz="2000" b="1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gradFill>
                  <a:gsLst>
                    <a:gs pos="0">
                      <a:schemeClr val="accent1">
                        <a:tint val="40000"/>
                        <a:satMod val="250000"/>
                      </a:schemeClr>
                    </a:gs>
                    <a:gs pos="9000">
                      <a:schemeClr val="accent1">
                        <a:tint val="52000"/>
                        <a:satMod val="300000"/>
                      </a:schemeClr>
                    </a:gs>
                    <a:gs pos="50000">
                      <a:schemeClr val="accent1">
                        <a:shade val="20000"/>
                        <a:satMod val="300000"/>
                      </a:schemeClr>
                    </a:gs>
                    <a:gs pos="79000">
                      <a:schemeClr val="accent1">
                        <a:tint val="52000"/>
                        <a:satMod val="300000"/>
                      </a:schemeClr>
                    </a:gs>
                    <a:gs pos="100000">
                      <a:schemeClr val="accent1">
                        <a:tint val="40000"/>
                        <a:satMod val="250000"/>
                      </a:schemeClr>
                    </a:gs>
                  </a:gsLst>
                  <a:lin ang="5400000"/>
                </a:gradFill>
                <a:effectLst/>
                <a:latin typeface="+mn-lt"/>
                <a:ea typeface="+mn-ea"/>
                <a:cs typeface="+mn-cs"/>
              </a:rPr>
              <a:t>UFSC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113232</xdr:colOff>
      <xdr:row>0</xdr:row>
      <xdr:rowOff>343033</xdr:rowOff>
    </xdr:from>
    <xdr:to>
      <xdr:col>1</xdr:col>
      <xdr:colOff>1788810</xdr:colOff>
      <xdr:row>0</xdr:row>
      <xdr:rowOff>1389238</xdr:rowOff>
    </xdr:to>
    <xdr:grpSp>
      <xdr:nvGrpSpPr>
        <xdr:cNvPr id="4" name="Grupo 3"/>
        <xdr:cNvGrpSpPr/>
      </xdr:nvGrpSpPr>
      <xdr:grpSpPr>
        <a:xfrm>
          <a:off x="303732" y="343033"/>
          <a:ext cx="1675578" cy="1046205"/>
          <a:chOff x="11932062" y="371117"/>
          <a:chExt cx="1675578" cy="1046205"/>
        </a:xfrm>
      </xdr:grpSpPr>
      <xdr:sp macro="" textlink="">
        <xdr:nvSpPr>
          <xdr:cNvPr id="5" name="Retângulo 4"/>
          <xdr:cNvSpPr/>
        </xdr:nvSpPr>
        <xdr:spPr>
          <a:xfrm>
            <a:off x="11932062" y="379776"/>
            <a:ext cx="1126014" cy="937629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5400" b="1" cap="none" spc="0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chemeClr val="bg2">
                    <a:tint val="85000"/>
                    <a:satMod val="155000"/>
                  </a:schemeClr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</a:rPr>
              <a:t>PIB</a:t>
            </a:r>
          </a:p>
        </xdr:txBody>
      </xdr:sp>
      <xdr:sp macro="" textlink="">
        <xdr:nvSpPr>
          <xdr:cNvPr id="6" name="Retângulo 5"/>
          <xdr:cNvSpPr/>
        </xdr:nvSpPr>
        <xdr:spPr>
          <a:xfrm>
            <a:off x="12871861" y="371117"/>
            <a:ext cx="735779" cy="937629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5400" b="1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gradFill>
                  <a:gsLst>
                    <a:gs pos="0">
                      <a:schemeClr val="accent1">
                        <a:tint val="40000"/>
                        <a:satMod val="250000"/>
                      </a:schemeClr>
                    </a:gs>
                    <a:gs pos="9000">
                      <a:schemeClr val="accent1">
                        <a:tint val="52000"/>
                        <a:satMod val="300000"/>
                      </a:schemeClr>
                    </a:gs>
                    <a:gs pos="50000">
                      <a:schemeClr val="accent1">
                        <a:shade val="20000"/>
                        <a:satMod val="300000"/>
                      </a:schemeClr>
                    </a:gs>
                    <a:gs pos="79000">
                      <a:schemeClr val="accent1">
                        <a:tint val="52000"/>
                        <a:satMod val="300000"/>
                      </a:schemeClr>
                    </a:gs>
                    <a:gs pos="100000">
                      <a:schemeClr val="accent1">
                        <a:tint val="40000"/>
                        <a:satMod val="250000"/>
                      </a:schemeClr>
                    </a:gs>
                  </a:gsLst>
                  <a:lin ang="5400000"/>
                </a:gradFill>
                <a:effectLst/>
              </a:rPr>
              <a:t>IC</a:t>
            </a:r>
          </a:p>
        </xdr:txBody>
      </xdr:sp>
      <xdr:sp macro="" textlink="">
        <xdr:nvSpPr>
          <xdr:cNvPr id="7" name="Retângulo 6"/>
          <xdr:cNvSpPr/>
        </xdr:nvSpPr>
        <xdr:spPr>
          <a:xfrm>
            <a:off x="12876351" y="1011890"/>
            <a:ext cx="726802" cy="405432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marL="0" indent="0" algn="ctr"/>
            <a:r>
              <a:rPr lang="pt-BR" sz="2000" b="1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gradFill>
                  <a:gsLst>
                    <a:gs pos="0">
                      <a:schemeClr val="accent1">
                        <a:tint val="40000"/>
                        <a:satMod val="250000"/>
                      </a:schemeClr>
                    </a:gs>
                    <a:gs pos="9000">
                      <a:schemeClr val="accent1">
                        <a:tint val="52000"/>
                        <a:satMod val="300000"/>
                      </a:schemeClr>
                    </a:gs>
                    <a:gs pos="50000">
                      <a:schemeClr val="accent1">
                        <a:shade val="20000"/>
                        <a:satMod val="300000"/>
                      </a:schemeClr>
                    </a:gs>
                    <a:gs pos="79000">
                      <a:schemeClr val="accent1">
                        <a:tint val="52000"/>
                        <a:satMod val="300000"/>
                      </a:schemeClr>
                    </a:gs>
                    <a:gs pos="100000">
                      <a:schemeClr val="accent1">
                        <a:tint val="40000"/>
                        <a:satMod val="250000"/>
                      </a:schemeClr>
                    </a:gs>
                  </a:gsLst>
                  <a:lin ang="5400000"/>
                </a:gradFill>
                <a:effectLst/>
                <a:latin typeface="+mn-lt"/>
                <a:ea typeface="+mn-ea"/>
                <a:cs typeface="+mn-cs"/>
              </a:rPr>
              <a:t>UFSC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L56"/>
  <sheetViews>
    <sheetView showGridLines="0" tabSelected="1" zoomScale="90" zoomScaleNormal="90" workbookViewId="0">
      <selection activeCell="E27" sqref="E27"/>
    </sheetView>
  </sheetViews>
  <sheetFormatPr defaultRowHeight="15" x14ac:dyDescent="0.25"/>
  <cols>
    <col min="1" max="1" width="3.28515625" style="16" bestFit="1" customWidth="1"/>
    <col min="2" max="2" width="34.85546875" style="16" customWidth="1"/>
    <col min="3" max="3" width="60.5703125" style="16" customWidth="1"/>
    <col min="4" max="4" width="9.140625" style="68"/>
    <col min="5" max="5" width="14.85546875" style="68" bestFit="1" customWidth="1"/>
    <col min="6" max="6" width="9.7109375" style="68" hidden="1" customWidth="1"/>
    <col min="7" max="7" width="15.7109375" style="68" bestFit="1" customWidth="1"/>
    <col min="8" max="8" width="104.7109375" style="16" bestFit="1" customWidth="1"/>
    <col min="9" max="11" width="9.140625" style="16" hidden="1" customWidth="1"/>
    <col min="12" max="12" width="10.85546875" style="16" hidden="1" customWidth="1"/>
    <col min="13" max="14" width="9.140625" style="16" customWidth="1"/>
    <col min="15" max="16384" width="9.140625" style="16"/>
  </cols>
  <sheetData>
    <row r="1" spans="1:11" ht="84.75" customHeight="1" x14ac:dyDescent="0.25">
      <c r="C1" s="104" t="s">
        <v>58</v>
      </c>
      <c r="D1" s="105"/>
      <c r="E1" s="105"/>
      <c r="F1" s="106"/>
      <c r="G1" s="105"/>
      <c r="H1" s="105"/>
    </row>
    <row r="2" spans="1:11" x14ac:dyDescent="0.25">
      <c r="A2" s="107" t="s">
        <v>8</v>
      </c>
      <c r="B2" s="108"/>
      <c r="C2" s="108"/>
      <c r="D2" s="109" t="s">
        <v>23</v>
      </c>
      <c r="E2" s="109"/>
      <c r="F2" s="22"/>
      <c r="G2" s="40">
        <v>2025</v>
      </c>
      <c r="H2" s="13" t="str">
        <f>"Janela de Avaliação: "&amp;TEXT(G2-3,"0")&amp;" a "&amp;TEXT(G2,"0")</f>
        <v>Janela de Avaliação: 2022 a 2025</v>
      </c>
    </row>
    <row r="3" spans="1:11" x14ac:dyDescent="0.25">
      <c r="A3" s="41" t="s">
        <v>0</v>
      </c>
      <c r="B3" s="41" t="s">
        <v>1</v>
      </c>
      <c r="C3" s="41" t="s">
        <v>2</v>
      </c>
      <c r="D3" s="42" t="s">
        <v>3</v>
      </c>
      <c r="E3" s="42" t="s">
        <v>4</v>
      </c>
      <c r="F3" s="43"/>
      <c r="G3" s="42" t="s">
        <v>25</v>
      </c>
      <c r="H3" s="41" t="s">
        <v>7</v>
      </c>
    </row>
    <row r="4" spans="1:11" x14ac:dyDescent="0.25">
      <c r="A4" s="35">
        <v>1</v>
      </c>
      <c r="B4" s="37" t="s">
        <v>5</v>
      </c>
      <c r="C4" s="36" t="s">
        <v>6</v>
      </c>
      <c r="D4" s="23">
        <v>1</v>
      </c>
      <c r="E4" s="23">
        <f>IF(G4="Bolsa DT",1)+IF(G4="Bolsa PQ",0.5)</f>
        <v>0</v>
      </c>
      <c r="F4" s="24"/>
      <c r="G4" s="44" t="s">
        <v>17</v>
      </c>
      <c r="H4" s="6" t="s">
        <v>53</v>
      </c>
      <c r="I4" s="45" t="s">
        <v>4</v>
      </c>
      <c r="J4" s="46"/>
      <c r="K4" s="47"/>
    </row>
    <row r="5" spans="1:11" ht="45" x14ac:dyDescent="0.25">
      <c r="A5" s="93">
        <v>2</v>
      </c>
      <c r="B5" s="95" t="s">
        <v>56</v>
      </c>
      <c r="C5" s="72" t="s">
        <v>75</v>
      </c>
      <c r="D5" s="71">
        <v>1</v>
      </c>
      <c r="E5" s="71">
        <f>IF(F5&gt;2,2,F5)</f>
        <v>0</v>
      </c>
      <c r="F5" s="71"/>
      <c r="G5" s="73"/>
      <c r="H5" s="48"/>
      <c r="I5" s="49"/>
      <c r="J5" s="46"/>
      <c r="K5" s="49">
        <v>0.2</v>
      </c>
    </row>
    <row r="6" spans="1:11" ht="15" customHeight="1" x14ac:dyDescent="0.25">
      <c r="A6" s="94"/>
      <c r="B6" s="96"/>
      <c r="C6" s="95" t="str">
        <f>"Itens de Propriedade Intelectual efetivamente depositados ou concedidos entre "&amp;TEXT(G2-3,"0")&amp;" e "&amp;TEXT(G2,"0")&amp;". Caso seja detectada fraude nas informações prestadas pelo solicitante, ele ficará inelegível para participar de Editais do PIBITI pelo prazo de três (03) anos."</f>
        <v>Itens de Propriedade Intelectual efetivamente depositados ou concedidos entre 2022 e 2025. Caso seja detectada fraude nas informações prestadas pelo solicitante, ele ficará inelegível para participar de Editais do PIBITI pelo prazo de três (03) anos.</v>
      </c>
      <c r="D6" s="82">
        <v>1</v>
      </c>
      <c r="E6" s="82" t="e">
        <f>IF(F6&gt;3,3,F6)</f>
        <v>#REF!</v>
      </c>
      <c r="F6" s="82" t="e">
        <f>G6*I6+G7*I7+G8*I8+G9*I9+G10*I10+G11*I11+G12*I12+G13*I13+G14*I14+G15*I15+#REF!*#REF!</f>
        <v>#REF!</v>
      </c>
      <c r="G6" s="28"/>
      <c r="H6" s="6" t="str">
        <f>TEXT(TRUNC(I6),"0")&amp;","&amp;TEXT((I6-TRUNC(I6))*100,"00")&amp;" por patente concedida"</f>
        <v>2,00 por patente concedida</v>
      </c>
      <c r="I6" s="49">
        <v>2</v>
      </c>
      <c r="J6" s="46"/>
      <c r="K6" s="47">
        <f>SUM(K5:K5)</f>
        <v>0.2</v>
      </c>
    </row>
    <row r="7" spans="1:11" ht="15.75" customHeight="1" x14ac:dyDescent="0.25">
      <c r="A7" s="94"/>
      <c r="B7" s="96"/>
      <c r="C7" s="96"/>
      <c r="D7" s="83"/>
      <c r="E7" s="83"/>
      <c r="F7" s="83"/>
      <c r="G7" s="28"/>
      <c r="H7" s="6" t="str">
        <f>TEXT(TRUNC(I7),"0")&amp;","&amp;TEXT((I7-TRUNC(I7))*100,"00")&amp;" por patente depositada"</f>
        <v>1,00 por patente depositada</v>
      </c>
      <c r="I7" s="49">
        <v>1</v>
      </c>
      <c r="J7" s="46"/>
      <c r="K7" s="47"/>
    </row>
    <row r="8" spans="1:11" x14ac:dyDescent="0.25">
      <c r="A8" s="94"/>
      <c r="B8" s="96"/>
      <c r="C8" s="96"/>
      <c r="D8" s="83"/>
      <c r="E8" s="83"/>
      <c r="F8" s="83"/>
      <c r="G8" s="28"/>
      <c r="H8" s="6" t="str">
        <f>TEXT(TRUNC(I8),"0")&amp;","&amp;TEXT((I8-TRUNC(I8))*100,"00")&amp;" por registro de software"</f>
        <v>1,50 por registro de software</v>
      </c>
      <c r="I8" s="49">
        <v>1.5</v>
      </c>
      <c r="J8" s="46"/>
      <c r="K8" s="47"/>
    </row>
    <row r="9" spans="1:11" x14ac:dyDescent="0.25">
      <c r="A9" s="94"/>
      <c r="B9" s="96"/>
      <c r="C9" s="96"/>
      <c r="D9" s="83"/>
      <c r="E9" s="83"/>
      <c r="F9" s="83"/>
      <c r="G9" s="28"/>
      <c r="H9" s="6" t="str">
        <f>TEXT(TRUNC(I9),"0")&amp;","&amp;TEXT((I9-TRUNC(I9))*100,"00")&amp;" por cultivar"</f>
        <v>1,00 por cultivar</v>
      </c>
      <c r="I9" s="49">
        <v>1</v>
      </c>
      <c r="J9" s="46"/>
      <c r="K9" s="47"/>
    </row>
    <row r="10" spans="1:11" x14ac:dyDescent="0.25">
      <c r="A10" s="94"/>
      <c r="B10" s="96"/>
      <c r="C10" s="96"/>
      <c r="D10" s="83"/>
      <c r="E10" s="83"/>
      <c r="F10" s="83"/>
      <c r="G10" s="28"/>
      <c r="H10" s="6" t="str">
        <f>TEXT(TRUNC(I10),"0")&amp;","&amp;TEXT((I10-TRUNC(I10))*100,"00")&amp;" por desenho industrial concedido"</f>
        <v>1,00 por desenho industrial concedido</v>
      </c>
      <c r="I10" s="49">
        <v>1</v>
      </c>
      <c r="J10" s="46"/>
      <c r="K10" s="47"/>
    </row>
    <row r="11" spans="1:11" x14ac:dyDescent="0.25">
      <c r="A11" s="94"/>
      <c r="B11" s="96"/>
      <c r="C11" s="96"/>
      <c r="D11" s="83"/>
      <c r="E11" s="83"/>
      <c r="F11" s="83"/>
      <c r="G11" s="28"/>
      <c r="H11" s="6" t="str">
        <f>TEXT(TRUNC(I11),"0")&amp;","&amp;TEXT((I11-TRUNC(I11))*100,"00")&amp;" por desenho industrial depositado"</f>
        <v>0,50 por desenho industrial depositado</v>
      </c>
      <c r="I11" s="49">
        <v>0.5</v>
      </c>
      <c r="J11" s="46"/>
      <c r="K11" s="47"/>
    </row>
    <row r="12" spans="1:11" x14ac:dyDescent="0.25">
      <c r="A12" s="94"/>
      <c r="B12" s="96"/>
      <c r="C12" s="96"/>
      <c r="D12" s="83"/>
      <c r="E12" s="83"/>
      <c r="F12" s="83"/>
      <c r="G12" s="28"/>
      <c r="H12" s="6" t="str">
        <f>TEXT(TRUNC(I12),"0")&amp;","&amp;TEXT((I12-TRUNC(I12))*100,"00")&amp;" por marca registrada concedida"</f>
        <v>1,00 por marca registrada concedida</v>
      </c>
      <c r="I12" s="49">
        <v>1</v>
      </c>
      <c r="J12" s="46"/>
      <c r="K12" s="47"/>
    </row>
    <row r="13" spans="1:11" x14ac:dyDescent="0.25">
      <c r="A13" s="94"/>
      <c r="B13" s="96"/>
      <c r="C13" s="96"/>
      <c r="D13" s="83"/>
      <c r="E13" s="83"/>
      <c r="F13" s="83"/>
      <c r="G13" s="28"/>
      <c r="H13" s="6" t="str">
        <f>TEXT(TRUNC(I13),"0")&amp;","&amp;TEXT((I13-TRUNC(I13))*100,"00")&amp;" por marca registrada depositada"</f>
        <v>0,50 por marca registrada depositada</v>
      </c>
      <c r="I13" s="49">
        <v>0.5</v>
      </c>
      <c r="J13" s="46"/>
      <c r="K13" s="47"/>
    </row>
    <row r="14" spans="1:11" x14ac:dyDescent="0.25">
      <c r="A14" s="94"/>
      <c r="B14" s="96"/>
      <c r="C14" s="96"/>
      <c r="D14" s="83"/>
      <c r="E14" s="83"/>
      <c r="F14" s="83"/>
      <c r="G14" s="28"/>
      <c r="H14" s="6" t="str">
        <f>TEXT(TRUNC(I14),"0")&amp;","&amp;TEXT((I14-TRUNC(I14))*100,"00")&amp;" por topografia de circuito integrado concedida"</f>
        <v>1,00 por topografia de circuito integrado concedida</v>
      </c>
      <c r="I14" s="49">
        <v>1</v>
      </c>
      <c r="J14" s="46"/>
      <c r="K14" s="47"/>
    </row>
    <row r="15" spans="1:11" x14ac:dyDescent="0.25">
      <c r="A15" s="94"/>
      <c r="B15" s="96"/>
      <c r="C15" s="96"/>
      <c r="D15" s="83"/>
      <c r="E15" s="83"/>
      <c r="F15" s="83"/>
      <c r="G15" s="28"/>
      <c r="H15" s="6" t="str">
        <f>TEXT(TRUNC(I15),"0")&amp;","&amp;TEXT((I15-TRUNC(I15))*100,"00")&amp;" por topografia de circuito integrado depositada"</f>
        <v>0,50 por topografia de circuito integrado depositada</v>
      </c>
      <c r="I15" s="49">
        <v>0.5</v>
      </c>
      <c r="J15" s="46"/>
      <c r="K15" s="47"/>
    </row>
    <row r="16" spans="1:11" ht="15" hidden="1" customHeight="1" x14ac:dyDescent="0.25">
      <c r="A16" s="99"/>
      <c r="B16" s="102"/>
      <c r="C16" s="21"/>
      <c r="D16" s="25"/>
      <c r="E16" s="26"/>
      <c r="F16" s="27"/>
      <c r="G16" s="28"/>
      <c r="H16" s="6"/>
      <c r="I16" s="49">
        <v>0</v>
      </c>
      <c r="J16" s="46"/>
      <c r="K16" s="47"/>
    </row>
    <row r="17" spans="1:12" x14ac:dyDescent="0.25">
      <c r="A17" s="93">
        <v>3</v>
      </c>
      <c r="B17" s="95" t="s">
        <v>55</v>
      </c>
      <c r="C17" s="97" t="str">
        <f>"Orientações no período entre "&amp;TEXT(G2-3,"0")&amp;" e "&amp;TEXT(G2,"0")&amp;". "</f>
        <v xml:space="preserve">Orientações no período entre 2022 e 2025. </v>
      </c>
      <c r="D17" s="82">
        <v>1</v>
      </c>
      <c r="E17" s="82">
        <f>IF(F17&gt;2,2,F17)</f>
        <v>0</v>
      </c>
      <c r="F17" s="82">
        <f>G17*I17+G18*I18+G19+I19+G20*I20+G21*I21+G22*I22+G23*I23+G24*I24+G26*I25</f>
        <v>0</v>
      </c>
      <c r="G17" s="30"/>
      <c r="H17" s="6" t="str">
        <f>TEXT(TRUNC(I17),"0")&amp;","&amp;TEXT((I17-TRUNC(I17))*100,"00")&amp;" por orientação de doutorado concluída ou em andamento"</f>
        <v>0,40 por orientação de doutorado concluída ou em andamento</v>
      </c>
      <c r="I17" s="49">
        <v>0.4</v>
      </c>
      <c r="J17" s="46"/>
      <c r="K17" s="47"/>
    </row>
    <row r="18" spans="1:12" x14ac:dyDescent="0.25">
      <c r="A18" s="94"/>
      <c r="B18" s="96"/>
      <c r="C18" s="98"/>
      <c r="D18" s="83"/>
      <c r="E18" s="83"/>
      <c r="F18" s="83"/>
      <c r="G18" s="30"/>
      <c r="H18" s="6" t="str">
        <f>TEXT(TRUNC(I18),"0")&amp;","&amp;TEXT((I18-TRUNC(I18))*100,"00")&amp;" por coorientação de doutorado concluída ou em andamento"</f>
        <v>0,20 por coorientação de doutorado concluída ou em andamento</v>
      </c>
      <c r="I18" s="49">
        <v>0.2</v>
      </c>
      <c r="J18" s="46"/>
      <c r="K18" s="47"/>
    </row>
    <row r="19" spans="1:12" x14ac:dyDescent="0.25">
      <c r="A19" s="94"/>
      <c r="B19" s="96"/>
      <c r="C19" s="98"/>
      <c r="D19" s="83"/>
      <c r="E19" s="83"/>
      <c r="F19" s="83"/>
      <c r="G19" s="30"/>
      <c r="H19" s="6" t="str">
        <f>TEXT(TRUNC(I19),"0")&amp;","&amp;TEXT((I19-TRUNC(I19))*100,"00")&amp;" por supervisão de pós-doc concluída ou em andamento"</f>
        <v>0,00 por supervisão de pós-doc concluída ou em andamento</v>
      </c>
      <c r="I19" s="49">
        <v>0</v>
      </c>
      <c r="J19" s="46"/>
      <c r="K19" s="47"/>
    </row>
    <row r="20" spans="1:12" x14ac:dyDescent="0.25">
      <c r="A20" s="94"/>
      <c r="B20" s="96"/>
      <c r="C20" s="98"/>
      <c r="D20" s="83"/>
      <c r="E20" s="83"/>
      <c r="F20" s="83"/>
      <c r="G20" s="30"/>
      <c r="H20" s="6" t="str">
        <f>TEXT(TRUNC(I20),"0")&amp;","&amp;TEXT((I20-TRUNC(I20))*100,"00")&amp;" por supervisão de pós-doc concluída ou em andamento"</f>
        <v>0,15 por supervisão de pós-doc concluída ou em andamento</v>
      </c>
      <c r="I20" s="49">
        <v>0.15</v>
      </c>
      <c r="J20" s="46"/>
      <c r="K20" s="47"/>
    </row>
    <row r="21" spans="1:12" x14ac:dyDescent="0.25">
      <c r="A21" s="94"/>
      <c r="B21" s="96"/>
      <c r="C21" s="98"/>
      <c r="D21" s="83"/>
      <c r="E21" s="83"/>
      <c r="F21" s="83"/>
      <c r="G21" s="30"/>
      <c r="H21" s="6" t="str">
        <f>TEXT(TRUNC(I21),"0")&amp;","&amp;TEXT((I21-TRUNC(I21))*100,"00")&amp;" por orientação de mestrado concluída ou em andamento"</f>
        <v>0,20 por orientação de mestrado concluída ou em andamento</v>
      </c>
      <c r="I21" s="49">
        <v>0.2</v>
      </c>
      <c r="J21" s="46"/>
      <c r="K21" s="47"/>
    </row>
    <row r="22" spans="1:12" x14ac:dyDescent="0.25">
      <c r="A22" s="94"/>
      <c r="B22" s="96"/>
      <c r="C22" s="98"/>
      <c r="D22" s="83"/>
      <c r="E22" s="83"/>
      <c r="F22" s="83"/>
      <c r="G22" s="30"/>
      <c r="H22" s="6" t="str">
        <f>TEXT(TRUNC(I22),"0")&amp;","&amp;TEXT((I22-TRUNC(I22))*100,"00")&amp;" por coorientação de mestrado concluída ou em andamento"</f>
        <v>0,10 por coorientação de mestrado concluída ou em andamento</v>
      </c>
      <c r="I22" s="49">
        <v>0.1</v>
      </c>
      <c r="J22" s="46"/>
      <c r="K22" s="47"/>
    </row>
    <row r="23" spans="1:12" x14ac:dyDescent="0.25">
      <c r="A23" s="94"/>
      <c r="B23" s="96"/>
      <c r="C23" s="98"/>
      <c r="D23" s="83"/>
      <c r="E23" s="83"/>
      <c r="F23" s="83"/>
      <c r="G23" s="30"/>
      <c r="H23" s="6" t="str">
        <f>TEXT(TRUNC(I23),"0")&amp;","&amp;TEXT((I23-TRUNC(I23))*100,"00")&amp;" por orientação de especialização concluída ou em andamento"</f>
        <v>0,10 por orientação de especialização concluída ou em andamento</v>
      </c>
      <c r="I23" s="49">
        <v>0.1</v>
      </c>
      <c r="J23" s="46"/>
      <c r="K23" s="47"/>
    </row>
    <row r="24" spans="1:12" x14ac:dyDescent="0.25">
      <c r="A24" s="94"/>
      <c r="B24" s="96"/>
      <c r="C24" s="98"/>
      <c r="D24" s="83"/>
      <c r="E24" s="83"/>
      <c r="F24" s="83"/>
      <c r="G24" s="30"/>
      <c r="H24" s="6" t="str">
        <f>TEXT(TRUNC(I24),"0")&amp;","&amp;TEXT((I24-TRUNC(I24))*100,"00")&amp;" por coorientação de especialização concluída ou em andamento"</f>
        <v>0,05 por coorientação de especialização concluída ou em andamento</v>
      </c>
      <c r="I24" s="49">
        <v>0.05</v>
      </c>
      <c r="J24" s="46"/>
      <c r="K24" s="47"/>
    </row>
    <row r="25" spans="1:12" x14ac:dyDescent="0.25">
      <c r="A25" s="94"/>
      <c r="B25" s="96"/>
      <c r="C25" s="98"/>
      <c r="D25" s="83"/>
      <c r="E25" s="83"/>
      <c r="F25" s="83"/>
      <c r="G25" s="30"/>
      <c r="H25" s="6" t="str">
        <f>TEXT(TRUNC(I25),"0")&amp;","&amp;TEXT((I25-TRUNC(I25))*100,"00")&amp;" por orientações de iniciação científica ou tecnológica ou TCC"</f>
        <v>0,10 por orientações de iniciação científica ou tecnológica ou TCC</v>
      </c>
      <c r="I25" s="49">
        <v>0.1</v>
      </c>
      <c r="J25" s="46"/>
      <c r="K25" s="47"/>
    </row>
    <row r="26" spans="1:12" x14ac:dyDescent="0.25">
      <c r="A26" s="94"/>
      <c r="B26" s="96"/>
      <c r="C26" s="98"/>
      <c r="D26" s="83"/>
      <c r="E26" s="83"/>
      <c r="F26" s="83"/>
      <c r="G26" s="50"/>
      <c r="H26" s="76" t="s">
        <v>76</v>
      </c>
      <c r="J26" s="46"/>
      <c r="K26" s="47"/>
    </row>
    <row r="27" spans="1:12" ht="15" customHeight="1" x14ac:dyDescent="0.25">
      <c r="A27" s="70"/>
      <c r="B27" s="38" t="s">
        <v>73</v>
      </c>
      <c r="C27" s="74" t="s">
        <v>78</v>
      </c>
      <c r="D27" s="39"/>
      <c r="E27" s="75" t="s">
        <v>74</v>
      </c>
      <c r="F27" s="39"/>
      <c r="G27" s="77" t="s">
        <v>40</v>
      </c>
      <c r="H27" s="78"/>
      <c r="I27" s="49"/>
      <c r="J27" s="46"/>
      <c r="K27" s="47"/>
      <c r="L27" s="51"/>
    </row>
    <row r="28" spans="1:12" x14ac:dyDescent="0.25">
      <c r="A28" s="93">
        <v>4</v>
      </c>
      <c r="B28" s="100" t="s">
        <v>61</v>
      </c>
      <c r="C28" s="95" t="s">
        <v>62</v>
      </c>
      <c r="D28" s="82">
        <v>1</v>
      </c>
      <c r="E28" s="82">
        <f>IF(F28&gt;2,2,F28)</f>
        <v>0</v>
      </c>
      <c r="F28" s="82">
        <f>G28*I28+G29*I29</f>
        <v>0</v>
      </c>
      <c r="G28" s="28"/>
      <c r="H28" s="38" t="str">
        <f>TEXT(TRUNC(I28),"0")&amp;","&amp;TEXT((I28-TRUNC(I28))*100,"00")&amp;" por projeto coordenado"</f>
        <v>1,00 por projeto coordenado</v>
      </c>
      <c r="I28" s="49">
        <v>1</v>
      </c>
      <c r="J28" s="46"/>
      <c r="K28" s="47"/>
      <c r="L28" s="51"/>
    </row>
    <row r="29" spans="1:12" x14ac:dyDescent="0.25">
      <c r="A29" s="99"/>
      <c r="B29" s="101"/>
      <c r="C29" s="102"/>
      <c r="D29" s="103"/>
      <c r="E29" s="103"/>
      <c r="F29" s="103"/>
      <c r="G29" s="28"/>
      <c r="H29" s="38" t="str">
        <f>TEXT(TRUNC(I29),"0")&amp;","&amp;TEXT((I29-TRUNC(I29))*100,"00")&amp;" por em que participou"</f>
        <v>0,50 por em que participou</v>
      </c>
      <c r="I29" s="49">
        <v>0.5</v>
      </c>
      <c r="J29" s="46"/>
      <c r="K29" s="47"/>
      <c r="L29" s="51"/>
    </row>
    <row r="30" spans="1:12" x14ac:dyDescent="0.25">
      <c r="A30" s="84" t="s">
        <v>9</v>
      </c>
      <c r="B30" s="85"/>
      <c r="C30" s="85"/>
      <c r="D30" s="85"/>
      <c r="E30" s="85"/>
      <c r="F30" s="85"/>
      <c r="G30" s="85"/>
      <c r="H30" s="86"/>
      <c r="J30" s="46"/>
      <c r="K30" s="52"/>
    </row>
    <row r="31" spans="1:12" x14ac:dyDescent="0.25">
      <c r="A31" s="53" t="s">
        <v>0</v>
      </c>
      <c r="B31" s="53" t="s">
        <v>1</v>
      </c>
      <c r="C31" s="53" t="s">
        <v>2</v>
      </c>
      <c r="D31" s="29" t="s">
        <v>3</v>
      </c>
      <c r="E31" s="29" t="s">
        <v>4</v>
      </c>
      <c r="F31" s="29"/>
      <c r="G31" s="29" t="s">
        <v>20</v>
      </c>
      <c r="H31" s="53" t="s">
        <v>7</v>
      </c>
      <c r="J31" s="46"/>
      <c r="K31" s="47"/>
    </row>
    <row r="32" spans="1:12" ht="45" x14ac:dyDescent="0.25">
      <c r="A32" s="4">
        <v>7</v>
      </c>
      <c r="B32" s="6" t="s">
        <v>10</v>
      </c>
      <c r="C32" s="14" t="s">
        <v>54</v>
      </c>
      <c r="D32" s="31">
        <f>IF(G32="SIM",10%,0%)</f>
        <v>0</v>
      </c>
      <c r="E32" s="32">
        <f>IF(G32="SIM",10,0)</f>
        <v>0</v>
      </c>
      <c r="F32" s="32"/>
      <c r="G32" s="33" t="s">
        <v>12</v>
      </c>
      <c r="H32" s="10"/>
      <c r="J32" s="46"/>
      <c r="K32" s="47"/>
    </row>
    <row r="33" spans="1:11" ht="45" x14ac:dyDescent="0.25">
      <c r="A33" s="4">
        <v>8</v>
      </c>
      <c r="B33" s="6" t="s">
        <v>22</v>
      </c>
      <c r="C33" s="3" t="s">
        <v>21</v>
      </c>
      <c r="D33" s="31">
        <v>0.4</v>
      </c>
      <c r="E33" s="24">
        <f>G33</f>
        <v>0</v>
      </c>
      <c r="F33" s="24"/>
      <c r="G33" s="23">
        <f>'2 - Projeto e Plano de Trabalho'!E23</f>
        <v>0</v>
      </c>
      <c r="H33" s="19" t="s">
        <v>51</v>
      </c>
      <c r="J33" s="46"/>
      <c r="K33" s="47"/>
    </row>
    <row r="34" spans="1:11" ht="45" hidden="1" x14ac:dyDescent="0.25">
      <c r="A34" s="4"/>
      <c r="B34" s="6" t="s">
        <v>15</v>
      </c>
      <c r="C34" s="3" t="s">
        <v>16</v>
      </c>
      <c r="D34" s="31">
        <v>0.1</v>
      </c>
      <c r="E34" s="24" t="e">
        <f>IF(#REF!="Aplica-se",10%,0)</f>
        <v>#REF!</v>
      </c>
      <c r="F34" s="24"/>
      <c r="G34" s="34">
        <v>7</v>
      </c>
      <c r="H34" s="6"/>
      <c r="I34" s="46"/>
      <c r="J34" s="46"/>
      <c r="K34" s="47"/>
    </row>
    <row r="35" spans="1:11" hidden="1" x14ac:dyDescent="0.25">
      <c r="A35" s="54"/>
      <c r="B35" s="6"/>
      <c r="C35" s="6"/>
      <c r="D35" s="55"/>
      <c r="E35" s="56"/>
      <c r="F35" s="56"/>
      <c r="G35" s="57"/>
      <c r="H35" s="6"/>
      <c r="K35" s="47"/>
    </row>
    <row r="36" spans="1:11" x14ac:dyDescent="0.25">
      <c r="A36" s="90" t="s">
        <v>46</v>
      </c>
      <c r="B36" s="91"/>
      <c r="C36" s="91"/>
      <c r="D36" s="91"/>
      <c r="E36" s="91"/>
      <c r="F36" s="91"/>
      <c r="G36" s="91"/>
      <c r="H36" s="92"/>
      <c r="K36" s="52"/>
    </row>
    <row r="37" spans="1:11" x14ac:dyDescent="0.25">
      <c r="A37" s="58"/>
      <c r="B37" s="6" t="s">
        <v>13</v>
      </c>
      <c r="C37" s="6"/>
      <c r="D37" s="31">
        <f>(D28+D17+D5+D4)/40*6</f>
        <v>0.60000000000000009</v>
      </c>
      <c r="E37" s="23">
        <v>0</v>
      </c>
      <c r="F37" s="23">
        <f>E37/0.6</f>
        <v>0</v>
      </c>
      <c r="G37" s="23">
        <f>IF(E37&gt;6,6,E37)</f>
        <v>0</v>
      </c>
      <c r="H37" s="87" t="str">
        <f>IF('2 - Projeto e Plano de Trabalho'!D4="Não","DESCLASSIFICADO: Excede 15 páginas","")</f>
        <v/>
      </c>
    </row>
    <row r="38" spans="1:11" x14ac:dyDescent="0.25">
      <c r="A38" s="59"/>
      <c r="B38" s="6" t="s">
        <v>24</v>
      </c>
      <c r="C38" s="60" t="str">
        <f>IF(G32="SIM","+10%","")</f>
        <v/>
      </c>
      <c r="D38" s="31">
        <f>D33</f>
        <v>0.4</v>
      </c>
      <c r="E38" s="23">
        <v>0</v>
      </c>
      <c r="F38" s="23">
        <f>E38/0.4</f>
        <v>0</v>
      </c>
      <c r="G38" s="23">
        <f>IF(E38&gt;4,4,E38)</f>
        <v>0</v>
      </c>
      <c r="H38" s="88"/>
    </row>
    <row r="39" spans="1:11" ht="18.75" x14ac:dyDescent="0.25">
      <c r="A39" s="61"/>
      <c r="B39" s="62" t="s">
        <v>14</v>
      </c>
      <c r="C39" s="63"/>
      <c r="D39" s="64">
        <f>D37+D38</f>
        <v>1</v>
      </c>
      <c r="E39" s="65">
        <f>E37+E38</f>
        <v>0</v>
      </c>
      <c r="F39" s="65"/>
      <c r="G39" s="66">
        <f>G37+G38</f>
        <v>0</v>
      </c>
      <c r="H39" s="89"/>
    </row>
    <row r="40" spans="1:11" hidden="1" x14ac:dyDescent="0.25">
      <c r="A40" s="54"/>
      <c r="B40" s="6"/>
      <c r="C40" s="6"/>
      <c r="D40" s="55"/>
      <c r="E40" s="56"/>
      <c r="F40" s="56"/>
      <c r="G40" s="67"/>
      <c r="H40" s="6"/>
    </row>
    <row r="41" spans="1:11" hidden="1" x14ac:dyDescent="0.25">
      <c r="A41" s="54"/>
      <c r="B41" s="6"/>
      <c r="C41" s="6"/>
      <c r="D41" s="55"/>
      <c r="E41" s="56"/>
      <c r="F41" s="56"/>
      <c r="G41" s="67"/>
      <c r="H41" s="6"/>
    </row>
    <row r="52" spans="5:7" hidden="1" x14ac:dyDescent="0.25">
      <c r="E52" s="68" t="s">
        <v>19</v>
      </c>
      <c r="G52" s="69" t="s">
        <v>11</v>
      </c>
    </row>
    <row r="53" spans="5:7" hidden="1" x14ac:dyDescent="0.25">
      <c r="E53" s="68" t="s">
        <v>18</v>
      </c>
      <c r="G53" s="69" t="s">
        <v>12</v>
      </c>
    </row>
    <row r="54" spans="5:7" hidden="1" x14ac:dyDescent="0.25">
      <c r="G54" s="68" t="s">
        <v>60</v>
      </c>
    </row>
    <row r="55" spans="5:7" hidden="1" x14ac:dyDescent="0.25">
      <c r="G55" s="68" t="s">
        <v>59</v>
      </c>
    </row>
    <row r="56" spans="5:7" hidden="1" x14ac:dyDescent="0.25">
      <c r="G56" s="68" t="s">
        <v>17</v>
      </c>
    </row>
  </sheetData>
  <sheetProtection selectLockedCells="1"/>
  <dataConsolidate/>
  <mergeCells count="24">
    <mergeCell ref="C1:H1"/>
    <mergeCell ref="A5:A16"/>
    <mergeCell ref="B5:B16"/>
    <mergeCell ref="A2:C2"/>
    <mergeCell ref="D2:E2"/>
    <mergeCell ref="E6:E15"/>
    <mergeCell ref="D6:D15"/>
    <mergeCell ref="F6:F15"/>
    <mergeCell ref="C6:C15"/>
    <mergeCell ref="D17:D26"/>
    <mergeCell ref="E17:E26"/>
    <mergeCell ref="A30:H30"/>
    <mergeCell ref="F17:F26"/>
    <mergeCell ref="H37:H39"/>
    <mergeCell ref="A36:H36"/>
    <mergeCell ref="A17:A26"/>
    <mergeCell ref="B17:B26"/>
    <mergeCell ref="C17:C26"/>
    <mergeCell ref="A28:A29"/>
    <mergeCell ref="B28:B29"/>
    <mergeCell ref="C28:C29"/>
    <mergeCell ref="D28:D29"/>
    <mergeCell ref="E28:E29"/>
    <mergeCell ref="F28:F29"/>
  </mergeCells>
  <conditionalFormatting sqref="G32">
    <cfRule type="cellIs" dxfId="32" priority="49" operator="equal">
      <formula>"NÃO"</formula>
    </cfRule>
    <cfRule type="cellIs" dxfId="31" priority="50" operator="equal">
      <formula>"SIM"</formula>
    </cfRule>
  </conditionalFormatting>
  <conditionalFormatting sqref="G4">
    <cfRule type="cellIs" dxfId="30" priority="22" operator="equal">
      <formula>"Bolsista DT"</formula>
    </cfRule>
    <cfRule type="cellIs" dxfId="29" priority="42" operator="equal">
      <formula>"Bolsista PQ"</formula>
    </cfRule>
    <cfRule type="cellIs" dxfId="28" priority="43" operator="equal">
      <formula>"Não é bolsista"</formula>
    </cfRule>
  </conditionalFormatting>
  <conditionalFormatting sqref="G5:G27">
    <cfRule type="cellIs" dxfId="27" priority="41" operator="greaterThan">
      <formula>0</formula>
    </cfRule>
  </conditionalFormatting>
  <conditionalFormatting sqref="G34">
    <cfRule type="cellIs" dxfId="26" priority="39" operator="greaterThan">
      <formula>0</formula>
    </cfRule>
  </conditionalFormatting>
  <conditionalFormatting sqref="G35">
    <cfRule type="cellIs" dxfId="25" priority="38" operator="greaterThan">
      <formula>0</formula>
    </cfRule>
  </conditionalFormatting>
  <conditionalFormatting sqref="G39">
    <cfRule type="cellIs" dxfId="24" priority="5" operator="equal">
      <formula>10</formula>
    </cfRule>
    <cfRule type="cellIs" dxfId="23" priority="35" operator="lessThan">
      <formula>6</formula>
    </cfRule>
    <cfRule type="cellIs" dxfId="22" priority="36" operator="greaterThanOrEqual">
      <formula>6</formula>
    </cfRule>
  </conditionalFormatting>
  <conditionalFormatting sqref="G28:G29">
    <cfRule type="cellIs" dxfId="21" priority="34" operator="greaterThan">
      <formula>0</formula>
    </cfRule>
  </conditionalFormatting>
  <conditionalFormatting sqref="E17:E26">
    <cfRule type="cellIs" dxfId="20" priority="9" operator="equal">
      <formula>2</formula>
    </cfRule>
  </conditionalFormatting>
  <conditionalFormatting sqref="E28">
    <cfRule type="cellIs" dxfId="19" priority="28" operator="equal">
      <formula>2</formula>
    </cfRule>
  </conditionalFormatting>
  <conditionalFormatting sqref="G2">
    <cfRule type="cellIs" dxfId="18" priority="16" operator="greaterThan">
      <formula>0</formula>
    </cfRule>
  </conditionalFormatting>
  <conditionalFormatting sqref="D28">
    <cfRule type="cellIs" dxfId="17" priority="14" operator="equal">
      <formula>0</formula>
    </cfRule>
  </conditionalFormatting>
  <conditionalFormatting sqref="H37:H39">
    <cfRule type="cellIs" dxfId="16" priority="13" operator="equal">
      <formula>"DESCLASSIFICADO: Excede 15 páginas"</formula>
    </cfRule>
  </conditionalFormatting>
  <conditionalFormatting sqref="H32">
    <cfRule type="cellIs" dxfId="15" priority="12" operator="greaterThan">
      <formula>0</formula>
    </cfRule>
  </conditionalFormatting>
  <conditionalFormatting sqref="E5">
    <cfRule type="cellIs" dxfId="14" priority="11" operator="equal">
      <formula>2</formula>
    </cfRule>
  </conditionalFormatting>
  <conditionalFormatting sqref="E6:E15">
    <cfRule type="cellIs" dxfId="13" priority="10" operator="equal">
      <formula>3</formula>
    </cfRule>
  </conditionalFormatting>
  <conditionalFormatting sqref="G29">
    <cfRule type="cellIs" dxfId="12" priority="8" operator="equal">
      <formula>2</formula>
    </cfRule>
  </conditionalFormatting>
  <conditionalFormatting sqref="E37">
    <cfRule type="cellIs" dxfId="11" priority="6" operator="equal">
      <formula>6</formula>
    </cfRule>
  </conditionalFormatting>
  <conditionalFormatting sqref="E38">
    <cfRule type="cellIs" dxfId="10" priority="4" operator="greaterThanOrEqual">
      <formula>4</formula>
    </cfRule>
  </conditionalFormatting>
  <conditionalFormatting sqref="E27">
    <cfRule type="cellIs" dxfId="9" priority="3" operator="equal">
      <formula>10</formula>
    </cfRule>
  </conditionalFormatting>
  <dataValidations count="6">
    <dataValidation type="list" allowBlank="1" showInputMessage="1" showErrorMessage="1" sqref="G32">
      <formula1>$G$52:$G$53</formula1>
    </dataValidation>
    <dataValidation type="decimal" errorStyle="warning" allowBlank="1" showInputMessage="1" showErrorMessage="1" error="Atribuir nota entre 0 e 10" sqref="G16">
      <formula1>0</formula1>
      <formula2>10</formula2>
    </dataValidation>
    <dataValidation type="list" allowBlank="1" showInputMessage="1" showErrorMessage="1" sqref="G4">
      <formula1>$G$54:$G$56</formula1>
    </dataValidation>
    <dataValidation type="whole" operator="greaterThanOrEqual" allowBlank="1" showInputMessage="1" showErrorMessage="1" sqref="G5 G6:G15">
      <formula1>0</formula1>
    </dataValidation>
    <dataValidation type="decimal" operator="greaterThanOrEqual" allowBlank="1" showInputMessage="1" showErrorMessage="1" sqref="G17:G26 G28:G29">
      <formula1>0</formula1>
    </dataValidation>
    <dataValidation type="list" operator="greaterThanOrEqual" allowBlank="1" showInputMessage="1" showErrorMessage="1" sqref="G27">
      <formula1>"Sim,Não"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E41D585B-CFB3-409E-B4DC-F9451073A427}">
            <xm:f>NOT(ISERROR(SEARCH("Sim",G27)))</xm:f>
            <xm:f>"Sim"</xm:f>
            <x14:dxf>
              <fill>
                <patternFill>
                  <fgColor theme="6" tint="0.39988402966399123"/>
                  <bgColor theme="6" tint="0.39994506668294322"/>
                </patternFill>
              </fill>
            </x14:dxf>
          </x14:cfRule>
          <x14:cfRule type="containsText" priority="2" operator="containsText" id="{6098CC52-D953-4353-88F1-8E07AA461E42}">
            <xm:f>NOT(ISERROR(SEARCH("Não",G27)))</xm:f>
            <xm:f>"Não"</xm:f>
            <x14:dxf>
              <fill>
                <patternFill>
                  <fgColor theme="5" tint="0.59996337778862885"/>
                  <bgColor theme="5" tint="0.59996337778862885"/>
                </patternFill>
              </fill>
            </x14:dxf>
          </x14:cfRule>
          <xm:sqref>G27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2"/>
  <dimension ref="A1:E40"/>
  <sheetViews>
    <sheetView showGridLines="0" zoomScaleNormal="100" workbookViewId="0">
      <selection activeCell="C12" sqref="C12"/>
    </sheetView>
  </sheetViews>
  <sheetFormatPr defaultRowHeight="15" x14ac:dyDescent="0.25"/>
  <cols>
    <col min="1" max="1" width="2.85546875" style="16" customWidth="1"/>
    <col min="2" max="2" width="34.7109375" style="16" customWidth="1"/>
    <col min="3" max="3" width="60.7109375" style="16" customWidth="1"/>
    <col min="4" max="16384" width="9.140625" style="16"/>
  </cols>
  <sheetData>
    <row r="1" spans="1:5" ht="123" customHeight="1" x14ac:dyDescent="0.25">
      <c r="C1" s="104" t="s">
        <v>52</v>
      </c>
      <c r="D1" s="106"/>
      <c r="E1" s="106"/>
    </row>
    <row r="2" spans="1:5" x14ac:dyDescent="0.25">
      <c r="A2" s="117" t="s">
        <v>26</v>
      </c>
      <c r="B2" s="117"/>
      <c r="C2" s="117"/>
      <c r="D2" s="117"/>
      <c r="E2" s="117"/>
    </row>
    <row r="3" spans="1:5" x14ac:dyDescent="0.25">
      <c r="A3" s="1" t="s">
        <v>0</v>
      </c>
      <c r="B3" s="1" t="s">
        <v>28</v>
      </c>
      <c r="C3" s="1" t="s">
        <v>2</v>
      </c>
      <c r="D3" s="2" t="s">
        <v>3</v>
      </c>
      <c r="E3" s="2" t="s">
        <v>39</v>
      </c>
    </row>
    <row r="4" spans="1:5" ht="30" x14ac:dyDescent="0.25">
      <c r="A4" s="4"/>
      <c r="B4" s="6" t="s">
        <v>42</v>
      </c>
      <c r="C4" s="14" t="s">
        <v>45</v>
      </c>
      <c r="D4" s="116" t="s">
        <v>40</v>
      </c>
      <c r="E4" s="116"/>
    </row>
    <row r="5" spans="1:5" x14ac:dyDescent="0.25">
      <c r="A5" s="4">
        <v>1</v>
      </c>
      <c r="B5" s="14" t="s">
        <v>29</v>
      </c>
      <c r="C5" s="14" t="s">
        <v>30</v>
      </c>
      <c r="D5" s="18">
        <v>0.05</v>
      </c>
      <c r="E5" s="20"/>
    </row>
    <row r="6" spans="1:5" ht="30" x14ac:dyDescent="0.25">
      <c r="A6" s="4">
        <v>2</v>
      </c>
      <c r="B6" s="15" t="s">
        <v>68</v>
      </c>
      <c r="C6" s="14" t="s">
        <v>69</v>
      </c>
      <c r="D6" s="18">
        <v>0.25</v>
      </c>
      <c r="E6" s="20"/>
    </row>
    <row r="7" spans="1:5" ht="60" x14ac:dyDescent="0.25">
      <c r="A7" s="4">
        <v>3</v>
      </c>
      <c r="B7" s="15" t="s">
        <v>63</v>
      </c>
      <c r="C7" s="14" t="s">
        <v>70</v>
      </c>
      <c r="D7" s="18">
        <v>0.15</v>
      </c>
      <c r="E7" s="20"/>
    </row>
    <row r="8" spans="1:5" ht="31.5" customHeight="1" x14ac:dyDescent="0.25">
      <c r="A8" s="4">
        <v>4</v>
      </c>
      <c r="B8" s="14" t="s">
        <v>31</v>
      </c>
      <c r="C8" s="14" t="s">
        <v>71</v>
      </c>
      <c r="D8" s="18">
        <v>0.15</v>
      </c>
      <c r="E8" s="20"/>
    </row>
    <row r="9" spans="1:5" ht="46.5" customHeight="1" x14ac:dyDescent="0.25">
      <c r="A9" s="4">
        <v>5</v>
      </c>
      <c r="B9" s="14" t="s">
        <v>32</v>
      </c>
      <c r="C9" s="14" t="s">
        <v>33</v>
      </c>
      <c r="D9" s="18">
        <v>0.1</v>
      </c>
      <c r="E9" s="20"/>
    </row>
    <row r="10" spans="1:5" ht="31.5" customHeight="1" x14ac:dyDescent="0.25">
      <c r="A10" s="4">
        <v>6</v>
      </c>
      <c r="B10" s="15" t="s">
        <v>34</v>
      </c>
      <c r="C10" s="14" t="s">
        <v>43</v>
      </c>
      <c r="D10" s="18">
        <v>0.1</v>
      </c>
      <c r="E10" s="20"/>
    </row>
    <row r="11" spans="1:5" ht="72.75" customHeight="1" x14ac:dyDescent="0.25">
      <c r="A11" s="4"/>
      <c r="B11" s="14" t="s">
        <v>35</v>
      </c>
      <c r="C11" s="14" t="s">
        <v>44</v>
      </c>
      <c r="D11" s="18">
        <v>0.1</v>
      </c>
      <c r="E11" s="20"/>
    </row>
    <row r="12" spans="1:5" s="68" customFormat="1" ht="45" x14ac:dyDescent="0.25">
      <c r="A12" s="29">
        <v>7</v>
      </c>
      <c r="B12" s="79" t="s">
        <v>77</v>
      </c>
      <c r="C12" s="80" t="s">
        <v>72</v>
      </c>
      <c r="D12" s="81">
        <v>0.1</v>
      </c>
      <c r="E12" s="28"/>
    </row>
    <row r="13" spans="1:5" x14ac:dyDescent="0.25">
      <c r="A13" s="117" t="s">
        <v>27</v>
      </c>
      <c r="B13" s="117"/>
      <c r="C13" s="117"/>
      <c r="D13" s="117"/>
      <c r="E13" s="117"/>
    </row>
    <row r="14" spans="1:5" x14ac:dyDescent="0.25">
      <c r="A14" s="4" t="s">
        <v>0</v>
      </c>
      <c r="B14" s="17" t="s">
        <v>28</v>
      </c>
      <c r="C14" s="17" t="s">
        <v>2</v>
      </c>
      <c r="D14" s="2" t="s">
        <v>3</v>
      </c>
      <c r="E14" s="2" t="s">
        <v>39</v>
      </c>
    </row>
    <row r="15" spans="1:5" ht="75" x14ac:dyDescent="0.25">
      <c r="A15" s="4">
        <v>1</v>
      </c>
      <c r="B15" s="14" t="s">
        <v>66</v>
      </c>
      <c r="C15" s="14" t="s">
        <v>67</v>
      </c>
      <c r="D15" s="18">
        <v>0.3</v>
      </c>
      <c r="E15" s="20"/>
    </row>
    <row r="16" spans="1:5" ht="45" customHeight="1" x14ac:dyDescent="0.25">
      <c r="A16" s="4">
        <v>2</v>
      </c>
      <c r="B16" s="14" t="s">
        <v>36</v>
      </c>
      <c r="C16" s="14" t="s">
        <v>37</v>
      </c>
      <c r="D16" s="18">
        <v>0.2</v>
      </c>
      <c r="E16" s="20"/>
    </row>
    <row r="17" spans="1:5" ht="60" x14ac:dyDescent="0.25">
      <c r="A17" s="4">
        <v>3</v>
      </c>
      <c r="B17" s="14" t="s">
        <v>64</v>
      </c>
      <c r="C17" s="14" t="s">
        <v>38</v>
      </c>
      <c r="D17" s="18">
        <v>0.3</v>
      </c>
      <c r="E17" s="20"/>
    </row>
    <row r="18" spans="1:5" ht="30" x14ac:dyDescent="0.25">
      <c r="A18" s="4">
        <v>4</v>
      </c>
      <c r="B18" s="15" t="s">
        <v>65</v>
      </c>
      <c r="C18" s="14" t="s">
        <v>57</v>
      </c>
      <c r="D18" s="18">
        <v>0.2</v>
      </c>
      <c r="E18" s="20"/>
    </row>
    <row r="20" spans="1:5" x14ac:dyDescent="0.25">
      <c r="A20" s="110" t="s">
        <v>49</v>
      </c>
      <c r="B20" s="111"/>
      <c r="C20" s="111"/>
      <c r="D20" s="111"/>
      <c r="E20" s="111"/>
    </row>
    <row r="21" spans="1:5" x14ac:dyDescent="0.25">
      <c r="A21" s="5"/>
      <c r="B21" s="112" t="s">
        <v>47</v>
      </c>
      <c r="C21" s="113"/>
      <c r="D21" s="11">
        <v>0.4</v>
      </c>
      <c r="E21" s="12">
        <f>D21*(D5*E5+D6*E6+D7*E7+D8*E8+D9*E9+D10*E10+D11*E12)</f>
        <v>0</v>
      </c>
    </row>
    <row r="22" spans="1:5" x14ac:dyDescent="0.25">
      <c r="A22" s="5"/>
      <c r="B22" s="112" t="s">
        <v>48</v>
      </c>
      <c r="C22" s="113"/>
      <c r="D22" s="11">
        <v>0.6</v>
      </c>
      <c r="E22" s="12">
        <f>D22*(D15*E15+D16*E16+D17*E17+D18*E18)</f>
        <v>0</v>
      </c>
    </row>
    <row r="23" spans="1:5" ht="18.75" x14ac:dyDescent="0.3">
      <c r="A23" s="7"/>
      <c r="B23" s="114" t="s">
        <v>50</v>
      </c>
      <c r="C23" s="115"/>
      <c r="D23" s="8">
        <f>D21+D22</f>
        <v>1</v>
      </c>
      <c r="E23" s="9">
        <f>E21+E22</f>
        <v>0</v>
      </c>
    </row>
    <row r="39" spans="4:4" hidden="1" x14ac:dyDescent="0.25">
      <c r="D39" s="16" t="s">
        <v>40</v>
      </c>
    </row>
    <row r="40" spans="4:4" hidden="1" x14ac:dyDescent="0.25">
      <c r="D40" s="16" t="s">
        <v>41</v>
      </c>
    </row>
  </sheetData>
  <sheetProtection selectLockedCells="1"/>
  <mergeCells count="8">
    <mergeCell ref="A20:E20"/>
    <mergeCell ref="B21:C21"/>
    <mergeCell ref="B22:C22"/>
    <mergeCell ref="B23:C23"/>
    <mergeCell ref="C1:E1"/>
    <mergeCell ref="D4:E4"/>
    <mergeCell ref="A2:E2"/>
    <mergeCell ref="A13:E13"/>
  </mergeCells>
  <conditionalFormatting sqref="D4">
    <cfRule type="cellIs" dxfId="6" priority="9" operator="equal">
      <formula>"Não"</formula>
    </cfRule>
    <cfRule type="cellIs" dxfId="5" priority="10" operator="equal">
      <formula>"Não"</formula>
    </cfRule>
    <cfRule type="cellIs" dxfId="4" priority="11" operator="equal">
      <formula>"Sim"</formula>
    </cfRule>
  </conditionalFormatting>
  <conditionalFormatting sqref="E5:E12">
    <cfRule type="cellIs" dxfId="3" priority="8" operator="greaterThan">
      <formula>0</formula>
    </cfRule>
  </conditionalFormatting>
  <conditionalFormatting sqref="E15:E18">
    <cfRule type="cellIs" dxfId="2" priority="7" operator="greaterThan">
      <formula>0</formula>
    </cfRule>
  </conditionalFormatting>
  <conditionalFormatting sqref="E23">
    <cfRule type="cellIs" dxfId="1" priority="1" operator="greaterThanOrEqual">
      <formula>6</formula>
    </cfRule>
    <cfRule type="cellIs" dxfId="0" priority="2" operator="lessThan">
      <formula>6</formula>
    </cfRule>
  </conditionalFormatting>
  <dataValidations count="2">
    <dataValidation type="list" allowBlank="1" showInputMessage="1" showErrorMessage="1" sqref="D4">
      <formula1>$D$39:$D$40</formula1>
    </dataValidation>
    <dataValidation type="decimal" errorStyle="warning" allowBlank="1" showInputMessage="1" showErrorMessage="1" error="Atribuir nota entre 0 e 10" sqref="E5:E12 E15:E18">
      <formula1>0</formula1>
      <formula2>10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1 - Pontuação Global</vt:lpstr>
      <vt:lpstr>2 - Projeto e Plano de Trabalho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ALBERTAZZI GONCALVES JUNIOR</dc:creator>
  <cp:lastModifiedBy>EDUARDO FILLIPI LEITE MOTA</cp:lastModifiedBy>
  <dcterms:created xsi:type="dcterms:W3CDTF">2016-11-10T11:23:36Z</dcterms:created>
  <dcterms:modified xsi:type="dcterms:W3CDTF">2025-05-19T20:52:40Z</dcterms:modified>
</cp:coreProperties>
</file>